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ACCOUNTING\BUDGETS\Budget 2023\"/>
    </mc:Choice>
  </mc:AlternateContent>
  <xr:revisionPtr revIDLastSave="0" documentId="13_ncr:1_{D2C27FA3-D382-4535-8092-863B775A85DE}" xr6:coauthVersionLast="47" xr6:coauthVersionMax="47" xr10:uidLastSave="{00000000-0000-0000-0000-000000000000}"/>
  <bookViews>
    <workbookView xWindow="28680" yWindow="-120" windowWidth="29040" windowHeight="15840" xr2:uid="{CFC870E0-DDCC-452B-9809-BA0A3F2B6BA6}"/>
  </bookViews>
  <sheets>
    <sheet name="Sheet1" sheetId="1" r:id="rId1"/>
  </sheets>
  <externalReferences>
    <externalReference r:id="rId2"/>
  </externalReferences>
  <definedNames>
    <definedName name="_xlnm.Print_Area" localSheetId="0">Sheet1!$A$1:$R$45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O34" i="1"/>
  <c r="O36" i="1" s="1"/>
  <c r="O45" i="1" s="1"/>
  <c r="O43" i="1"/>
  <c r="M13" i="1" l="1"/>
  <c r="M8" i="1" s="1"/>
  <c r="M29" i="1"/>
  <c r="P45" i="1"/>
  <c r="P43" i="1"/>
  <c r="P36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7" i="1"/>
  <c r="P15" i="1"/>
  <c r="P13" i="1"/>
  <c r="P12" i="1"/>
  <c r="P11" i="1"/>
  <c r="P10" i="1"/>
  <c r="P9" i="1"/>
  <c r="P8" i="1"/>
  <c r="P5" i="1"/>
  <c r="P4" i="1"/>
  <c r="P3" i="1"/>
  <c r="P2" i="1"/>
  <c r="P51" i="1" l="1"/>
  <c r="M43" i="1"/>
  <c r="M5" i="1"/>
  <c r="N51" i="1" s="1"/>
  <c r="Q2" i="1"/>
  <c r="I43" i="1"/>
  <c r="G43" i="1"/>
  <c r="E43" i="1"/>
  <c r="C43" i="1"/>
  <c r="Q42" i="1"/>
  <c r="Q40" i="1"/>
  <c r="K40" i="1"/>
  <c r="K43" i="1" s="1"/>
  <c r="Q39" i="1"/>
  <c r="G34" i="1"/>
  <c r="C34" i="1"/>
  <c r="Q33" i="1"/>
  <c r="Q32" i="1"/>
  <c r="Q31" i="1"/>
  <c r="K31" i="1"/>
  <c r="I31" i="1"/>
  <c r="Q30" i="1"/>
  <c r="Q29" i="1"/>
  <c r="K29" i="1"/>
  <c r="K34" i="1" s="1"/>
  <c r="I29" i="1"/>
  <c r="I34" i="1" s="1"/>
  <c r="Q28" i="1"/>
  <c r="Q27" i="1"/>
  <c r="Q26" i="1"/>
  <c r="Q25" i="1"/>
  <c r="T24" i="1"/>
  <c r="Q24" i="1"/>
  <c r="Q23" i="1"/>
  <c r="E23" i="1"/>
  <c r="E34" i="1" s="1"/>
  <c r="Q22" i="1"/>
  <c r="Q21" i="1"/>
  <c r="Q20" i="1"/>
  <c r="Q19" i="1"/>
  <c r="C13" i="1"/>
  <c r="Q12" i="1"/>
  <c r="Q11" i="1"/>
  <c r="Q10" i="1"/>
  <c r="D10" i="1"/>
  <c r="Q9" i="1"/>
  <c r="G9" i="1"/>
  <c r="G13" i="1" s="1"/>
  <c r="E9" i="1"/>
  <c r="F9" i="1" s="1"/>
  <c r="Q8" i="1"/>
  <c r="K8" i="1"/>
  <c r="K13" i="1" s="1"/>
  <c r="I8" i="1"/>
  <c r="K5" i="1"/>
  <c r="L12" i="1" s="1"/>
  <c r="I5" i="1"/>
  <c r="J48" i="1" s="1"/>
  <c r="G5" i="1"/>
  <c r="H10" i="1" s="1"/>
  <c r="E5" i="1"/>
  <c r="F51" i="1" s="1"/>
  <c r="C5" i="1"/>
  <c r="D13" i="1" s="1"/>
  <c r="Q4" i="1"/>
  <c r="L4" i="1"/>
  <c r="F4" i="1"/>
  <c r="D4" i="1"/>
  <c r="Q3" i="1"/>
  <c r="D3" i="1"/>
  <c r="D2" i="1"/>
  <c r="Q43" i="1" l="1"/>
  <c r="Q34" i="1"/>
  <c r="N8" i="1"/>
  <c r="N13" i="1"/>
  <c r="P48" i="1"/>
  <c r="N9" i="1"/>
  <c r="N2" i="1"/>
  <c r="N3" i="1"/>
  <c r="N11" i="1"/>
  <c r="N15" i="1"/>
  <c r="N48" i="1"/>
  <c r="N5" i="1"/>
  <c r="N10" i="1"/>
  <c r="N4" i="1"/>
  <c r="N12" i="1"/>
  <c r="M17" i="1"/>
  <c r="N43" i="1" s="1"/>
  <c r="L10" i="1"/>
  <c r="H13" i="1"/>
  <c r="H8" i="1"/>
  <c r="H12" i="1"/>
  <c r="H2" i="1"/>
  <c r="J8" i="1"/>
  <c r="J2" i="1"/>
  <c r="H3" i="1"/>
  <c r="L13" i="1"/>
  <c r="L2" i="1"/>
  <c r="L3" i="1"/>
  <c r="H4" i="1"/>
  <c r="L5" i="1"/>
  <c r="L8" i="1"/>
  <c r="D34" i="1"/>
  <c r="K15" i="1"/>
  <c r="L15" i="1" s="1"/>
  <c r="Q5" i="1"/>
  <c r="F11" i="1"/>
  <c r="J3" i="1"/>
  <c r="D5" i="1"/>
  <c r="H5" i="1"/>
  <c r="F8" i="1"/>
  <c r="D9" i="1"/>
  <c r="H9" i="1"/>
  <c r="J10" i="1"/>
  <c r="D11" i="1"/>
  <c r="L11" i="1"/>
  <c r="F12" i="1"/>
  <c r="E13" i="1"/>
  <c r="F13" i="1" s="1"/>
  <c r="I13" i="1"/>
  <c r="J13" i="1" s="1"/>
  <c r="Q13" i="1"/>
  <c r="H15" i="1"/>
  <c r="I17" i="1"/>
  <c r="J29" i="1" s="1"/>
  <c r="D48" i="1"/>
  <c r="L48" i="1"/>
  <c r="H51" i="1"/>
  <c r="J51" i="1"/>
  <c r="J9" i="1"/>
  <c r="F3" i="1"/>
  <c r="F5" i="1"/>
  <c r="J5" i="1"/>
  <c r="L9" i="1"/>
  <c r="F10" i="1"/>
  <c r="H11" i="1"/>
  <c r="J12" i="1"/>
  <c r="D15" i="1"/>
  <c r="C17" i="1"/>
  <c r="D43" i="1" s="1"/>
  <c r="G17" i="1"/>
  <c r="K17" i="1"/>
  <c r="H48" i="1"/>
  <c r="D51" i="1"/>
  <c r="L51" i="1"/>
  <c r="J15" i="1"/>
  <c r="F48" i="1"/>
  <c r="F2" i="1"/>
  <c r="J4" i="1"/>
  <c r="D8" i="1"/>
  <c r="J11" i="1"/>
  <c r="D12" i="1"/>
  <c r="F15" i="1"/>
  <c r="R2" i="1" l="1"/>
  <c r="Q17" i="1"/>
  <c r="Q36" i="1" s="1"/>
  <c r="Q45" i="1" s="1"/>
  <c r="M34" i="1"/>
  <c r="N34" i="1" s="1"/>
  <c r="N29" i="1"/>
  <c r="N25" i="1"/>
  <c r="N21" i="1"/>
  <c r="N33" i="1"/>
  <c r="N27" i="1"/>
  <c r="N19" i="1"/>
  <c r="N32" i="1"/>
  <c r="N26" i="1"/>
  <c r="N22" i="1"/>
  <c r="N28" i="1"/>
  <c r="N24" i="1"/>
  <c r="N20" i="1"/>
  <c r="N30" i="1"/>
  <c r="N23" i="1"/>
  <c r="N17" i="1"/>
  <c r="N31" i="1"/>
  <c r="E17" i="1"/>
  <c r="J31" i="1"/>
  <c r="E36" i="1"/>
  <c r="F33" i="1"/>
  <c r="F31" i="1"/>
  <c r="F29" i="1"/>
  <c r="F25" i="1"/>
  <c r="F24" i="1"/>
  <c r="F19" i="1"/>
  <c r="F17" i="1"/>
  <c r="F26" i="1"/>
  <c r="F20" i="1"/>
  <c r="F43" i="1"/>
  <c r="F27" i="1"/>
  <c r="F32" i="1"/>
  <c r="F30" i="1"/>
  <c r="F28" i="1"/>
  <c r="F22" i="1"/>
  <c r="F21" i="1"/>
  <c r="R51" i="1"/>
  <c r="R5" i="1"/>
  <c r="R48" i="1"/>
  <c r="R15" i="1"/>
  <c r="R12" i="1"/>
  <c r="R3" i="1"/>
  <c r="R11" i="1"/>
  <c r="R10" i="1"/>
  <c r="L32" i="1"/>
  <c r="L30" i="1"/>
  <c r="L28" i="1"/>
  <c r="L23" i="1"/>
  <c r="L22" i="1"/>
  <c r="L17" i="1"/>
  <c r="L26" i="1"/>
  <c r="L20" i="1"/>
  <c r="L33" i="1"/>
  <c r="L25" i="1"/>
  <c r="L24" i="1"/>
  <c r="L19" i="1"/>
  <c r="K36" i="1"/>
  <c r="L27" i="1"/>
  <c r="L21" i="1"/>
  <c r="F23" i="1"/>
  <c r="F34" i="1"/>
  <c r="R9" i="1"/>
  <c r="L31" i="1"/>
  <c r="H26" i="1"/>
  <c r="H20" i="1"/>
  <c r="H17" i="1"/>
  <c r="H22" i="1"/>
  <c r="H27" i="1"/>
  <c r="H21" i="1"/>
  <c r="G36" i="1"/>
  <c r="H32" i="1"/>
  <c r="H30" i="1"/>
  <c r="H28" i="1"/>
  <c r="H23" i="1"/>
  <c r="H33" i="1"/>
  <c r="H31" i="1"/>
  <c r="H29" i="1"/>
  <c r="H25" i="1"/>
  <c r="H24" i="1"/>
  <c r="H19" i="1"/>
  <c r="R13" i="1"/>
  <c r="H43" i="1"/>
  <c r="H34" i="1"/>
  <c r="L29" i="1"/>
  <c r="D32" i="1"/>
  <c r="D30" i="1"/>
  <c r="D28" i="1"/>
  <c r="D22" i="1"/>
  <c r="D17" i="1"/>
  <c r="D33" i="1"/>
  <c r="D31" i="1"/>
  <c r="D29" i="1"/>
  <c r="D25" i="1"/>
  <c r="D24" i="1"/>
  <c r="D23" i="1"/>
  <c r="D19" i="1"/>
  <c r="C36" i="1"/>
  <c r="D26" i="1"/>
  <c r="D27" i="1"/>
  <c r="D21" i="1"/>
  <c r="D20" i="1"/>
  <c r="I36" i="1"/>
  <c r="J27" i="1"/>
  <c r="J21" i="1"/>
  <c r="J43" i="1"/>
  <c r="J25" i="1"/>
  <c r="J19" i="1"/>
  <c r="J32" i="1"/>
  <c r="J30" i="1"/>
  <c r="J28" i="1"/>
  <c r="J23" i="1"/>
  <c r="J22" i="1"/>
  <c r="J33" i="1"/>
  <c r="J24" i="1"/>
  <c r="J17" i="1"/>
  <c r="J26" i="1"/>
  <c r="J20" i="1"/>
  <c r="J34" i="1"/>
  <c r="R8" i="1"/>
  <c r="L34" i="1"/>
  <c r="L43" i="1"/>
  <c r="R4" i="1"/>
  <c r="M36" i="1" l="1"/>
  <c r="N36" i="1" s="1"/>
  <c r="D36" i="1"/>
  <c r="C45" i="1"/>
  <c r="D45" i="1" s="1"/>
  <c r="L36" i="1"/>
  <c r="K45" i="1"/>
  <c r="L45" i="1" s="1"/>
  <c r="I45" i="1"/>
  <c r="J45" i="1" s="1"/>
  <c r="J36" i="1"/>
  <c r="H36" i="1"/>
  <c r="G45" i="1"/>
  <c r="H45" i="1" s="1"/>
  <c r="R45" i="1"/>
  <c r="R36" i="1"/>
  <c r="R26" i="1"/>
  <c r="R20" i="1"/>
  <c r="R32" i="1"/>
  <c r="R23" i="1"/>
  <c r="R30" i="1"/>
  <c r="R28" i="1"/>
  <c r="R43" i="1"/>
  <c r="R22" i="1"/>
  <c r="R17" i="1"/>
  <c r="R21" i="1"/>
  <c r="R31" i="1"/>
  <c r="R24" i="1"/>
  <c r="R34" i="1"/>
  <c r="R19" i="1"/>
  <c r="R27" i="1"/>
  <c r="R33" i="1"/>
  <c r="R29" i="1"/>
  <c r="R25" i="1"/>
  <c r="E45" i="1"/>
  <c r="F45" i="1" s="1"/>
  <c r="F36" i="1"/>
  <c r="M45" i="1" l="1"/>
  <c r="N45" i="1" s="1"/>
</calcChain>
</file>

<file path=xl/sharedStrings.xml><?xml version="1.0" encoding="utf-8"?>
<sst xmlns="http://schemas.openxmlformats.org/spreadsheetml/2006/main" count="64" uniqueCount="50">
  <si>
    <t xml:space="preserve"> </t>
  </si>
  <si>
    <t>2018 ACTUAL</t>
  </si>
  <si>
    <t>2019 ACTUAL</t>
  </si>
  <si>
    <t>2020 ACTUAL</t>
  </si>
  <si>
    <t>2021 ACTUAL</t>
  </si>
  <si>
    <t>12 Mos. Ended 7/31/22</t>
  </si>
  <si>
    <t>INPATIENT ROUTINE</t>
  </si>
  <si>
    <t>INPATIENT ANCILLARY</t>
  </si>
  <si>
    <t>OUTPATIENT</t>
  </si>
  <si>
    <t>TOTAL REVENUE</t>
  </si>
  <si>
    <t>DEDUCTIONS FROM REVENUE</t>
  </si>
  <si>
    <t>% of Gross Rev</t>
  </si>
  <si>
    <t>CONTRACTUALS</t>
  </si>
  <si>
    <t>PRIOR YEAR ADJUSTMENTS</t>
  </si>
  <si>
    <t>OTHER DISCOUNTS</t>
  </si>
  <si>
    <t>PROVISION FOR BAD DEBTS</t>
  </si>
  <si>
    <t>CHARITY WRITE-OFFS</t>
  </si>
  <si>
    <t>TOTAL DEDUCTIONS FROM REVENUE</t>
  </si>
  <si>
    <t>OTHER OPERATING REVENUE</t>
  </si>
  <si>
    <t>NET REVENUE</t>
  </si>
  <si>
    <t>% of net Rev</t>
  </si>
  <si>
    <t>Salaries &amp; Wages</t>
  </si>
  <si>
    <t>Benefits</t>
  </si>
  <si>
    <t>Contract Labor</t>
  </si>
  <si>
    <t>Provision for Bad Dbt</t>
  </si>
  <si>
    <t>Supplies</t>
  </si>
  <si>
    <t>Medical Spec Fees</t>
  </si>
  <si>
    <t>Purchased Services</t>
  </si>
  <si>
    <t>Repairs &amp; Maintenance</t>
  </si>
  <si>
    <t>Marketing</t>
  </si>
  <si>
    <t>Utilities</t>
  </si>
  <si>
    <t>Other Operating Exp</t>
  </si>
  <si>
    <t>Prop Taxes &amp; Ins</t>
  </si>
  <si>
    <t>Interest Expense</t>
  </si>
  <si>
    <t>Rent/Lease</t>
  </si>
  <si>
    <t>Depreciation/Amortization</t>
  </si>
  <si>
    <t>TOTAL OPERATING EXPENSES</t>
  </si>
  <si>
    <t>OPERATING MARGIN</t>
  </si>
  <si>
    <t>Non-Operating Revenue (Expense)</t>
  </si>
  <si>
    <t>Interest Income</t>
  </si>
  <si>
    <t>Grant Revenue</t>
  </si>
  <si>
    <t>Fundraising Income</t>
  </si>
  <si>
    <t>Other Income/(Expense)</t>
  </si>
  <si>
    <t>Total Non-Operating Revenue (Expense)</t>
  </si>
  <si>
    <t>Excess Revenue over Expenses</t>
  </si>
  <si>
    <t>would break even if deduct were</t>
  </si>
  <si>
    <t>Operating Margin break even if deductions were</t>
  </si>
  <si>
    <t>2023 BUDGET</t>
  </si>
  <si>
    <t>2022 BUDGET</t>
  </si>
  <si>
    <t>2022 Annualized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</si>
</sst>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3" fillId="0" borderId="0"/>
  </cellStyleXfs>
  <cellXfs count="22">
    <xf numFmtId="0" fontId="0" fillId="0" borderId="0" xfId="0"/>
    <xf numFmtId="0" fontId="2" fillId="0" borderId="0" xfId="1" applyFont="1" applyAlignment="1">
      <alignment horizontal="right" vertical="top"/>
    </xf>
    <xf numFmtId="164" fontId="4" fillId="0" borderId="0" xfId="2" applyFont="1" applyAlignment="1">
      <alignment horizontal="right"/>
    </xf>
    <xf numFmtId="164" fontId="4" fillId="0" borderId="0" xfId="2" applyFont="1" applyAlignment="1">
      <alignment horizontal="center"/>
    </xf>
    <xf numFmtId="164" fontId="6" fillId="0" borderId="0" xfId="2" applyFont="1" applyAlignment="1">
      <alignment horizontal="left"/>
    </xf>
    <xf numFmtId="44" fontId="2" fillId="0" borderId="0" xfId="1" applyNumberFormat="1" applyFont="1" applyAlignment="1">
      <alignment wrapText="1"/>
    </xf>
    <xf numFmtId="10" fontId="2" fillId="0" borderId="0" xfId="1" applyNumberFormat="1" applyFont="1"/>
    <xf numFmtId="43" fontId="2" fillId="0" borderId="0" xfId="1" applyNumberFormat="1" applyFont="1" applyAlignment="1">
      <alignment wrapText="1"/>
    </xf>
    <xf numFmtId="0" fontId="5" fillId="0" borderId="0" xfId="1" applyFont="1" applyAlignment="1">
      <alignment horizontal="right" vertical="top"/>
    </xf>
    <xf numFmtId="43" fontId="5" fillId="0" borderId="0" xfId="1" applyNumberFormat="1" applyFont="1" applyAlignment="1">
      <alignment wrapText="1"/>
    </xf>
    <xf numFmtId="164" fontId="6" fillId="0" borderId="0" xfId="2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/>
    <xf numFmtId="10" fontId="5" fillId="0" borderId="0" xfId="1" applyNumberFormat="1" applyFont="1"/>
    <xf numFmtId="43" fontId="2" fillId="0" borderId="0" xfId="1" applyNumberFormat="1" applyFont="1"/>
    <xf numFmtId="0" fontId="5" fillId="0" borderId="0" xfId="1" applyFont="1" applyAlignment="1">
      <alignment horizontal="right"/>
    </xf>
    <xf numFmtId="0" fontId="5" fillId="0" borderId="0" xfId="1" applyFont="1"/>
    <xf numFmtId="44" fontId="5" fillId="0" borderId="0" xfId="1" applyNumberFormat="1" applyFont="1" applyAlignment="1">
      <alignment wrapText="1"/>
    </xf>
    <xf numFmtId="164" fontId="7" fillId="0" borderId="0" xfId="2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164" fontId="4" fillId="0" borderId="0" xfId="2" applyFont="1" applyAlignment="1">
      <alignment horizontal="center"/>
    </xf>
  </cellXfs>
  <cellStyles count="3">
    <cellStyle name="Normal" xfId="0" builtinId="0"/>
    <cellStyle name="Normal_GL Trial Balance  93010" xfId="1" xr:uid="{8CBD04FE-ED16-489C-AD3B-B73F586FB5C1}"/>
    <cellStyle name="Normal_Stats 093010" xfId="2" xr:uid="{213D2E80-7C0C-4E36-BA66-5343BFA339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023%20Dolla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ments"/>
      <sheetName val="BUDGET"/>
      <sheetName val="STATS 2023"/>
      <sheetName val="STATS"/>
      <sheetName val="MO STATS"/>
      <sheetName val="MED SURG"/>
      <sheetName val="SWING BED"/>
      <sheetName val="IP PROFEE"/>
      <sheetName val="ICU"/>
      <sheetName val="OBS"/>
      <sheetName val="OR"/>
      <sheetName val="RECOVERY"/>
      <sheetName val="ANESTHESIA"/>
      <sheetName val="SURGIDAY"/>
      <sheetName val="ENDOSCOPY"/>
      <sheetName val="STERILE SUPPLY"/>
      <sheetName val="PHARMACY"/>
      <sheetName val="IV THERAPY"/>
      <sheetName val="LAB"/>
      <sheetName val="PATHOLOGY"/>
      <sheetName val="BLOOD BANK"/>
      <sheetName val="CENTRAL SUPPLY"/>
      <sheetName val="EKG"/>
      <sheetName val="XRAY"/>
      <sheetName val="ULTRASOUND"/>
      <sheetName val="CT"/>
      <sheetName val="MRI"/>
      <sheetName val="NUCLEAR MEDICINE"/>
      <sheetName val="MAMMOGRAPHY"/>
      <sheetName val="RESPIRATORY"/>
      <sheetName val="PULMONARY LAB"/>
      <sheetName val="PHYSICAL THERAPY"/>
      <sheetName val="OCCUPATIONAL THERAPY"/>
      <sheetName val="SPEECH THERAPY"/>
      <sheetName val="WOUND CARE"/>
      <sheetName val="EMERGENCY SERVICES"/>
      <sheetName val="ER PROFEE"/>
      <sheetName val="OTHER REVENUE"/>
      <sheetName val="DEDUCTIONS FROM REVENUE"/>
      <sheetName val="OTHER DISCOUNTS"/>
      <sheetName val="PRIOR YR ADJS"/>
      <sheetName val="CHARITY WRITE-OFFS"/>
      <sheetName val="MOB"/>
      <sheetName val="LAUNDRY &amp; LINEN"/>
      <sheetName val="HOUSEKEEPING"/>
      <sheetName val="PLANT OP &amp; MAINTENANCE"/>
      <sheetName val="SECURITY"/>
      <sheetName val="ADMITTING"/>
      <sheetName val="BUSINESS OFFICE"/>
      <sheetName val="CREDIT &amp; COLLECTION"/>
      <sheetName val="COMMUNICATIONS"/>
      <sheetName val="NURSING ADMIN"/>
      <sheetName val="HOSPITAL ADMIN"/>
      <sheetName val="MARKETING"/>
      <sheetName val="GENERAL ACCOUNTING"/>
      <sheetName val="DATA PROCESSING"/>
      <sheetName val="HEALTH INFO MGMT"/>
      <sheetName val="DIETARY"/>
      <sheetName val="BYRD AVENUE - OLD HOSPITAL"/>
      <sheetName val="DEPRECIATION"/>
      <sheetName val="recap rev and deduct"/>
      <sheetName val="TOTAL BUDGET COMPARISON BY YEAR"/>
    </sheetNames>
    <sheetDataSet>
      <sheetData sheetId="0" refreshError="1"/>
      <sheetData sheetId="1" refreshError="1"/>
      <sheetData sheetId="2">
        <row r="2">
          <cell r="C2">
            <v>2869201.0575000001</v>
          </cell>
        </row>
        <row r="3">
          <cell r="C3">
            <v>10980106.49483357</v>
          </cell>
        </row>
        <row r="4">
          <cell r="C4">
            <v>50693102.632999994</v>
          </cell>
        </row>
        <row r="8">
          <cell r="W8">
            <v>36492406.655966118</v>
          </cell>
        </row>
        <row r="9">
          <cell r="W9">
            <v>0</v>
          </cell>
        </row>
        <row r="10">
          <cell r="W10">
            <v>965638.63</v>
          </cell>
        </row>
        <row r="11">
          <cell r="W11">
            <v>4637545.1419999991</v>
          </cell>
        </row>
        <row r="12">
          <cell r="W12">
            <v>1377150.6299999997</v>
          </cell>
        </row>
        <row r="19">
          <cell r="W19">
            <v>9303303.8956000004</v>
          </cell>
        </row>
        <row r="20">
          <cell r="W20">
            <v>1598794.2696</v>
          </cell>
        </row>
        <row r="21">
          <cell r="W21">
            <v>486821.66866666661</v>
          </cell>
        </row>
        <row r="22">
          <cell r="W22">
            <v>0</v>
          </cell>
        </row>
        <row r="23">
          <cell r="W23">
            <v>3557586.6269333339</v>
          </cell>
        </row>
        <row r="24">
          <cell r="F24">
            <v>791083</v>
          </cell>
          <cell r="W24">
            <v>752393.33333333326</v>
          </cell>
        </row>
        <row r="25">
          <cell r="W25">
            <v>1900372.7784000002</v>
          </cell>
        </row>
        <row r="26">
          <cell r="W26">
            <v>417228.66666666674</v>
          </cell>
        </row>
        <row r="27">
          <cell r="W27">
            <v>106893.96599999999</v>
          </cell>
        </row>
        <row r="28">
          <cell r="W28">
            <v>418430.95999999996</v>
          </cell>
        </row>
        <row r="29">
          <cell r="W29">
            <v>186358.16200000004</v>
          </cell>
        </row>
        <row r="30">
          <cell r="W30">
            <v>424344.54200000007</v>
          </cell>
        </row>
        <row r="31">
          <cell r="W31">
            <v>897556.5340000001</v>
          </cell>
        </row>
        <row r="32">
          <cell r="W32">
            <v>376509.17333333334</v>
          </cell>
        </row>
        <row r="33">
          <cell r="W33">
            <v>888022.80000000016</v>
          </cell>
        </row>
        <row r="39">
          <cell r="W39">
            <v>0</v>
          </cell>
        </row>
        <row r="40">
          <cell r="W40">
            <v>15000</v>
          </cell>
        </row>
        <row r="42">
          <cell r="W42">
            <v>42166.07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36650-5ED3-4260-AFD2-7FEA65638CC6}">
  <sheetPr>
    <pageSetUpPr fitToPage="1"/>
  </sheetPr>
  <dimension ref="A1:T51"/>
  <sheetViews>
    <sheetView tabSelected="1" view="pageLayout" zoomScaleNormal="100" workbookViewId="0">
      <selection activeCell="B2" sqref="B2"/>
    </sheetView>
  </sheetViews>
  <sheetFormatPr defaultRowHeight="15" x14ac:dyDescent="0.25"/>
  <cols>
    <col min="1" max="1" width="3.28515625" customWidth="1"/>
    <col min="2" max="2" width="31" customWidth="1"/>
    <col min="3" max="3" width="15.42578125" customWidth="1"/>
    <col min="4" max="4" width="9" customWidth="1"/>
    <col min="5" max="5" width="15.42578125" customWidth="1"/>
    <col min="6" max="6" width="9" customWidth="1"/>
    <col min="7" max="7" width="15.42578125" customWidth="1"/>
    <col min="8" max="8" width="9.28515625" customWidth="1"/>
    <col min="9" max="9" width="15.42578125" customWidth="1"/>
    <col min="10" max="10" width="9.85546875" customWidth="1"/>
    <col min="11" max="11" width="13.85546875" hidden="1" customWidth="1"/>
    <col min="12" max="12" width="0" hidden="1" customWidth="1"/>
    <col min="13" max="13" width="15" customWidth="1"/>
    <col min="15" max="15" width="14.7109375" customWidth="1"/>
    <col min="17" max="17" width="13.85546875" customWidth="1"/>
  </cols>
  <sheetData>
    <row r="1" spans="1:18" x14ac:dyDescent="0.25">
      <c r="A1" s="1" t="s">
        <v>0</v>
      </c>
      <c r="B1" s="2"/>
      <c r="C1" s="21" t="s">
        <v>1</v>
      </c>
      <c r="D1" s="21"/>
      <c r="E1" s="21" t="s">
        <v>2</v>
      </c>
      <c r="F1" s="21"/>
      <c r="G1" s="21" t="s">
        <v>3</v>
      </c>
      <c r="H1" s="21"/>
      <c r="I1" s="21" t="s">
        <v>4</v>
      </c>
      <c r="J1" s="21"/>
      <c r="K1" s="19" t="s">
        <v>5</v>
      </c>
      <c r="L1" s="20"/>
      <c r="M1" s="21" t="s">
        <v>49</v>
      </c>
      <c r="N1" s="21"/>
      <c r="O1" s="19" t="s">
        <v>48</v>
      </c>
      <c r="P1" s="20"/>
      <c r="Q1" s="19" t="s">
        <v>47</v>
      </c>
      <c r="R1" s="20"/>
    </row>
    <row r="2" spans="1:18" x14ac:dyDescent="0.25">
      <c r="A2" s="1"/>
      <c r="B2" s="4" t="s">
        <v>6</v>
      </c>
      <c r="C2" s="5">
        <v>1866150</v>
      </c>
      <c r="D2" s="6">
        <f>C2/C$5</f>
        <v>5.3014058449633625E-2</v>
      </c>
      <c r="E2" s="5">
        <v>1851300</v>
      </c>
      <c r="F2" s="6">
        <f>E2/E$5</f>
        <v>5.2480999343909554E-2</v>
      </c>
      <c r="G2" s="5">
        <v>1598851</v>
      </c>
      <c r="H2" s="6">
        <f>G2/G$5</f>
        <v>4.7000555945809867E-2</v>
      </c>
      <c r="I2" s="5">
        <v>2412400</v>
      </c>
      <c r="J2" s="6">
        <f>I2/I$5</f>
        <v>4.7932448230859709E-2</v>
      </c>
      <c r="K2" s="5">
        <v>2216926</v>
      </c>
      <c r="L2" s="6">
        <f>K2/K$5</f>
        <v>3.5479158705618012E-2</v>
      </c>
      <c r="M2" s="5">
        <v>2062824</v>
      </c>
      <c r="N2" s="6">
        <f>M2/M$5</f>
        <v>3.3760313628813599E-2</v>
      </c>
      <c r="O2" s="5">
        <v>2505507.96</v>
      </c>
      <c r="P2" s="6">
        <f>O2/O$8</f>
        <v>8.9035119535069068E-2</v>
      </c>
      <c r="Q2" s="5">
        <f>+[1]BUDGET!C2</f>
        <v>2869201.0575000001</v>
      </c>
      <c r="R2" s="6">
        <f>Q2/Q$5</f>
        <v>4.4454507497645158E-2</v>
      </c>
    </row>
    <row r="3" spans="1:18" x14ac:dyDescent="0.25">
      <c r="A3" s="1"/>
      <c r="B3" s="4" t="s">
        <v>7</v>
      </c>
      <c r="C3" s="7">
        <v>5227301.09</v>
      </c>
      <c r="D3" s="6">
        <f>C3/C$5</f>
        <v>0.14849848378699115</v>
      </c>
      <c r="E3" s="7">
        <v>4739701</v>
      </c>
      <c r="F3" s="6">
        <f>E3/E$5</f>
        <v>0.13436193219431072</v>
      </c>
      <c r="G3" s="7">
        <v>4423551</v>
      </c>
      <c r="H3" s="6">
        <f>G3/G$5</f>
        <v>0.13003673028608867</v>
      </c>
      <c r="I3" s="7">
        <v>9348711</v>
      </c>
      <c r="J3" s="6">
        <f>I3/I$5</f>
        <v>0.18575137043308271</v>
      </c>
      <c r="K3" s="7">
        <v>10023058.76</v>
      </c>
      <c r="L3" s="6">
        <f>K3/K$5</f>
        <v>0.16040665879771127</v>
      </c>
      <c r="M3" s="7">
        <v>9046482</v>
      </c>
      <c r="N3" s="6">
        <f>M3/M$5</f>
        <v>0.1480553210343766</v>
      </c>
      <c r="O3" s="7">
        <v>9378282.9484835789</v>
      </c>
      <c r="P3" s="6">
        <f>O3/O$8</f>
        <v>0.33326437460287911</v>
      </c>
      <c r="Q3" s="5">
        <f>+[1]BUDGET!C3</f>
        <v>10980106.49483357</v>
      </c>
      <c r="R3" s="6">
        <f>Q3/Q$5</f>
        <v>0.17012234999133419</v>
      </c>
    </row>
    <row r="4" spans="1:18" x14ac:dyDescent="0.25">
      <c r="A4" s="1"/>
      <c r="B4" s="4" t="s">
        <v>8</v>
      </c>
      <c r="C4" s="7">
        <v>28107589.059999999</v>
      </c>
      <c r="D4" s="6">
        <f>C4/C$5</f>
        <v>0.79848745776337515</v>
      </c>
      <c r="E4" s="7">
        <v>28684623</v>
      </c>
      <c r="F4" s="6">
        <f>E4/E$5</f>
        <v>0.81315706846177971</v>
      </c>
      <c r="G4" s="7">
        <v>27995302</v>
      </c>
      <c r="H4" s="6">
        <f>G4/G$5</f>
        <v>0.82296271376810148</v>
      </c>
      <c r="I4" s="7">
        <v>38568052</v>
      </c>
      <c r="J4" s="6">
        <f>I4/I$5</f>
        <v>0.76631618133605761</v>
      </c>
      <c r="K4" s="7">
        <v>50245318.75</v>
      </c>
      <c r="L4" s="6">
        <f>K4/K$5</f>
        <v>0.80411418249667077</v>
      </c>
      <c r="M4" s="7">
        <v>49992733</v>
      </c>
      <c r="N4" s="6">
        <f>M4/M$5</f>
        <v>0.81818436533680983</v>
      </c>
      <c r="O4" s="7">
        <v>37439313.992255926</v>
      </c>
      <c r="P4" s="6">
        <f>O4/O$8</f>
        <v>1.3304343270222501</v>
      </c>
      <c r="Q4" s="5">
        <f>+[1]BUDGET!C4</f>
        <v>50693102.632999994</v>
      </c>
      <c r="R4" s="6">
        <f>Q4/Q$5</f>
        <v>0.78542314251102063</v>
      </c>
    </row>
    <row r="5" spans="1:18" x14ac:dyDescent="0.25">
      <c r="A5" s="8"/>
      <c r="B5" s="2" t="s">
        <v>9</v>
      </c>
      <c r="C5" s="9">
        <f>SUM(C2:C4)</f>
        <v>35201040.149999999</v>
      </c>
      <c r="D5" s="6">
        <f>C5/C$5</f>
        <v>1</v>
      </c>
      <c r="E5" s="9">
        <f>SUM(E2:E4)</f>
        <v>35275624</v>
      </c>
      <c r="F5" s="6">
        <f>E5/E$5</f>
        <v>1</v>
      </c>
      <c r="G5" s="9">
        <f>SUM(G2:G4)</f>
        <v>34017704</v>
      </c>
      <c r="H5" s="6">
        <f>G5/G$5</f>
        <v>1</v>
      </c>
      <c r="I5" s="9">
        <f>SUM(I2:I4)</f>
        <v>50329163</v>
      </c>
      <c r="J5" s="6">
        <f>I5/I$5</f>
        <v>1</v>
      </c>
      <c r="K5" s="9">
        <f>SUM(K2:K4)</f>
        <v>62485303.509999998</v>
      </c>
      <c r="L5" s="6">
        <f>K5/K$5</f>
        <v>1</v>
      </c>
      <c r="M5" s="9">
        <f>SUM(M2:M4)</f>
        <v>61102039</v>
      </c>
      <c r="N5" s="6">
        <f>M5/M$5</f>
        <v>1</v>
      </c>
      <c r="O5" s="9">
        <v>49323104.900739506</v>
      </c>
      <c r="P5" s="6">
        <f>O5/O$8</f>
        <v>1.7527338211601984</v>
      </c>
      <c r="Q5" s="9">
        <f>SUM(Q2:Q4)</f>
        <v>64542410.185333565</v>
      </c>
      <c r="R5" s="6">
        <f>Q5/Q$5</f>
        <v>1</v>
      </c>
    </row>
    <row r="6" spans="1:18" x14ac:dyDescent="0.25">
      <c r="A6" s="1"/>
      <c r="B6" s="10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  <c r="P6" s="6"/>
      <c r="Q6" s="7"/>
      <c r="R6" s="6"/>
    </row>
    <row r="7" spans="1:18" x14ac:dyDescent="0.25">
      <c r="A7" s="1"/>
      <c r="B7" s="3" t="s">
        <v>10</v>
      </c>
      <c r="C7" s="7"/>
      <c r="D7" s="11" t="s">
        <v>11</v>
      </c>
      <c r="E7" s="7"/>
      <c r="F7" s="11" t="s">
        <v>11</v>
      </c>
      <c r="G7" s="7"/>
      <c r="H7" s="11" t="s">
        <v>11</v>
      </c>
      <c r="I7" s="7"/>
      <c r="J7" s="11" t="s">
        <v>11</v>
      </c>
      <c r="K7" s="7"/>
      <c r="L7" s="11" t="s">
        <v>11</v>
      </c>
      <c r="M7" s="7"/>
      <c r="N7" s="11" t="s">
        <v>11</v>
      </c>
      <c r="O7" s="7"/>
      <c r="P7" s="11" t="s">
        <v>11</v>
      </c>
      <c r="Q7" s="7"/>
      <c r="R7" s="11" t="s">
        <v>11</v>
      </c>
    </row>
    <row r="8" spans="1:18" x14ac:dyDescent="0.25">
      <c r="A8" s="1"/>
      <c r="B8" s="4" t="s">
        <v>12</v>
      </c>
      <c r="C8" s="7">
        <v>20209690</v>
      </c>
      <c r="D8" s="6">
        <f t="shared" ref="D8:D13" si="0">C8/C$5</f>
        <v>0.57412195531386878</v>
      </c>
      <c r="E8" s="7">
        <v>20189797</v>
      </c>
      <c r="F8" s="6">
        <f t="shared" ref="F8:F13" si="1">E8/E$5</f>
        <v>0.57234414903617292</v>
      </c>
      <c r="G8" s="7">
        <v>18718765</v>
      </c>
      <c r="H8" s="6">
        <f t="shared" ref="H8:H13" si="2">G8/G$5</f>
        <v>0.55026538534170322</v>
      </c>
      <c r="I8" s="7">
        <f>29082582-672156</f>
        <v>28410426</v>
      </c>
      <c r="J8" s="6">
        <f t="shared" ref="J8:J13" si="3">I8/I$5</f>
        <v>0.56449232028754381</v>
      </c>
      <c r="K8" s="7">
        <f>1896412.53+8954488.49+26039760.91</f>
        <v>36890661.93</v>
      </c>
      <c r="L8" s="6">
        <f t="shared" ref="L8:L13" si="4">K8/K$5</f>
        <v>0.59038941731468275</v>
      </c>
      <c r="M8" s="7">
        <f>+M13-M10-M11-M12</f>
        <v>35008662</v>
      </c>
      <c r="N8" s="6">
        <f t="shared" ref="N8:N13" si="5">M8/M$5</f>
        <v>0.57295407113991725</v>
      </c>
      <c r="O8" s="7">
        <v>28140670.480182067</v>
      </c>
      <c r="P8" s="6">
        <f t="shared" ref="P8:P13" si="6">O8/O$8</f>
        <v>1</v>
      </c>
      <c r="Q8" s="5">
        <f>+[1]BUDGET!W8</f>
        <v>36492406.655966118</v>
      </c>
      <c r="R8" s="6">
        <f t="shared" ref="R8:R13" si="7">Q8/Q$5</f>
        <v>0.56540198221879467</v>
      </c>
    </row>
    <row r="9" spans="1:18" x14ac:dyDescent="0.25">
      <c r="A9" s="1"/>
      <c r="B9" s="4" t="s">
        <v>13</v>
      </c>
      <c r="C9" s="7">
        <v>-743560</v>
      </c>
      <c r="D9" s="6">
        <f t="shared" si="0"/>
        <v>-2.1123239450638792E-2</v>
      </c>
      <c r="E9" s="7">
        <f>-474081-705385</f>
        <v>-1179466</v>
      </c>
      <c r="F9" s="6">
        <f t="shared" si="1"/>
        <v>-3.3435723206483886E-2</v>
      </c>
      <c r="G9" s="7">
        <f>-474082-640439</f>
        <v>-1114521</v>
      </c>
      <c r="H9" s="6">
        <f t="shared" si="2"/>
        <v>-3.2762969540801462E-2</v>
      </c>
      <c r="I9" s="7">
        <v>0</v>
      </c>
      <c r="J9" s="6">
        <f t="shared" si="3"/>
        <v>0</v>
      </c>
      <c r="K9" s="7">
        <v>0</v>
      </c>
      <c r="L9" s="6">
        <f t="shared" si="4"/>
        <v>0</v>
      </c>
      <c r="M9" s="7">
        <v>0</v>
      </c>
      <c r="N9" s="6">
        <f t="shared" si="5"/>
        <v>0</v>
      </c>
      <c r="O9" s="7">
        <v>0</v>
      </c>
      <c r="P9" s="6">
        <f t="shared" si="6"/>
        <v>0</v>
      </c>
      <c r="Q9" s="5">
        <f>+[1]BUDGET!W9</f>
        <v>0</v>
      </c>
      <c r="R9" s="6">
        <f t="shared" si="7"/>
        <v>0</v>
      </c>
    </row>
    <row r="10" spans="1:18" x14ac:dyDescent="0.25">
      <c r="A10" s="1"/>
      <c r="B10" s="4" t="s">
        <v>14</v>
      </c>
      <c r="C10" s="7">
        <v>1036235</v>
      </c>
      <c r="D10" s="6">
        <f t="shared" si="0"/>
        <v>2.943762444474244E-2</v>
      </c>
      <c r="E10" s="7">
        <v>1049273</v>
      </c>
      <c r="F10" s="6">
        <f t="shared" si="1"/>
        <v>2.9744987643592073E-2</v>
      </c>
      <c r="G10" s="7">
        <v>1311239</v>
      </c>
      <c r="H10" s="6">
        <f t="shared" si="2"/>
        <v>3.8545781925787823E-2</v>
      </c>
      <c r="I10" s="7">
        <v>1304428</v>
      </c>
      <c r="J10" s="6">
        <f t="shared" si="3"/>
        <v>2.5917935491992981E-2</v>
      </c>
      <c r="K10" s="7">
        <v>834319.48</v>
      </c>
      <c r="L10" s="6">
        <f t="shared" si="4"/>
        <v>1.3352251379662059E-2</v>
      </c>
      <c r="M10" s="7">
        <v>824870</v>
      </c>
      <c r="N10" s="6">
        <f t="shared" si="5"/>
        <v>1.3499876820804621E-2</v>
      </c>
      <c r="O10" s="7">
        <v>267390</v>
      </c>
      <c r="P10" s="6">
        <f t="shared" si="6"/>
        <v>9.5019057981688155E-3</v>
      </c>
      <c r="Q10" s="5">
        <f>+[1]BUDGET!W10</f>
        <v>965638.63</v>
      </c>
      <c r="R10" s="6">
        <f t="shared" si="7"/>
        <v>1.4961304159965024E-2</v>
      </c>
    </row>
    <row r="11" spans="1:18" x14ac:dyDescent="0.25">
      <c r="A11" s="1"/>
      <c r="B11" s="12" t="s">
        <v>15</v>
      </c>
      <c r="C11" s="7">
        <v>2174565</v>
      </c>
      <c r="D11" s="6">
        <f t="shared" si="0"/>
        <v>6.1775589321612707E-2</v>
      </c>
      <c r="E11" s="7">
        <v>2114124</v>
      </c>
      <c r="F11" s="6">
        <f t="shared" si="1"/>
        <v>5.993158335058793E-2</v>
      </c>
      <c r="G11" s="7">
        <v>2392898</v>
      </c>
      <c r="H11" s="6">
        <f t="shared" si="2"/>
        <v>7.0342725070451556E-2</v>
      </c>
      <c r="I11" s="7">
        <v>3934033</v>
      </c>
      <c r="J11" s="6">
        <f t="shared" si="3"/>
        <v>7.8166072422066704E-2</v>
      </c>
      <c r="K11" s="7">
        <v>4104256.16</v>
      </c>
      <c r="L11" s="6">
        <f t="shared" si="4"/>
        <v>6.5683543640676481E-2</v>
      </c>
      <c r="M11" s="7">
        <v>3564377</v>
      </c>
      <c r="N11" s="6">
        <f t="shared" si="5"/>
        <v>5.8334829055377353E-2</v>
      </c>
      <c r="O11" s="7">
        <v>3572948.64</v>
      </c>
      <c r="P11" s="6">
        <f t="shared" si="6"/>
        <v>0.1269674310893279</v>
      </c>
      <c r="Q11" s="5">
        <f>+[1]BUDGET!W11</f>
        <v>4637545.1419999991</v>
      </c>
      <c r="R11" s="6">
        <f t="shared" si="7"/>
        <v>7.1852679946151465E-2</v>
      </c>
    </row>
    <row r="12" spans="1:18" x14ac:dyDescent="0.25">
      <c r="A12" s="1"/>
      <c r="B12" s="4" t="s">
        <v>16</v>
      </c>
      <c r="C12" s="7">
        <v>745697</v>
      </c>
      <c r="D12" s="6">
        <f t="shared" si="0"/>
        <v>2.118394788399456E-2</v>
      </c>
      <c r="E12" s="7">
        <v>897455</v>
      </c>
      <c r="F12" s="6">
        <f t="shared" si="1"/>
        <v>2.5441222528055068E-2</v>
      </c>
      <c r="G12" s="7">
        <v>650458</v>
      </c>
      <c r="H12" s="6">
        <f t="shared" si="2"/>
        <v>1.9121161145972697E-2</v>
      </c>
      <c r="I12" s="7">
        <v>674693</v>
      </c>
      <c r="J12" s="6">
        <f t="shared" si="3"/>
        <v>1.3405607401021154E-2</v>
      </c>
      <c r="K12" s="7">
        <v>1085941.06</v>
      </c>
      <c r="L12" s="6">
        <f t="shared" si="4"/>
        <v>1.737914355855227E-2</v>
      </c>
      <c r="M12" s="7">
        <v>1170205</v>
      </c>
      <c r="N12" s="6">
        <f t="shared" si="5"/>
        <v>1.9151652205910839E-2</v>
      </c>
      <c r="O12" s="7">
        <v>711716.88</v>
      </c>
      <c r="P12" s="6">
        <f t="shared" si="6"/>
        <v>2.5291397392298211E-2</v>
      </c>
      <c r="Q12" s="5">
        <f>+[1]BUDGET!W12</f>
        <v>1377150.6299999997</v>
      </c>
      <c r="R12" s="6">
        <f t="shared" si="7"/>
        <v>2.1337142911854561E-2</v>
      </c>
    </row>
    <row r="13" spans="1:18" x14ac:dyDescent="0.25">
      <c r="A13" s="8"/>
      <c r="B13" s="2" t="s">
        <v>17</v>
      </c>
      <c r="C13" s="9">
        <f>SUM(C8:C12)</f>
        <v>23422627</v>
      </c>
      <c r="D13" s="13">
        <f t="shared" si="0"/>
        <v>0.66539587751357965</v>
      </c>
      <c r="E13" s="9">
        <f>SUM(E8:E12)</f>
        <v>23071183</v>
      </c>
      <c r="F13" s="13">
        <f t="shared" si="1"/>
        <v>0.65402621935192418</v>
      </c>
      <c r="G13" s="9">
        <f>SUM(G8:G12)</f>
        <v>21958839</v>
      </c>
      <c r="H13" s="13">
        <f t="shared" si="2"/>
        <v>0.64551208394311388</v>
      </c>
      <c r="I13" s="9">
        <f>SUM(I8:I12)</f>
        <v>34323580</v>
      </c>
      <c r="J13" s="13">
        <f t="shared" si="3"/>
        <v>0.68198193560262466</v>
      </c>
      <c r="K13" s="9">
        <f>SUM(K8:K12)</f>
        <v>42915178.629999995</v>
      </c>
      <c r="L13" s="13">
        <f t="shared" si="4"/>
        <v>0.68680435589357347</v>
      </c>
      <c r="M13" s="9">
        <f>41425506-857392</f>
        <v>40568114</v>
      </c>
      <c r="N13" s="13">
        <f t="shared" si="5"/>
        <v>0.66394042922201013</v>
      </c>
      <c r="O13" s="9">
        <v>32692726.000182066</v>
      </c>
      <c r="P13" s="13">
        <f t="shared" si="6"/>
        <v>1.1617607342797949</v>
      </c>
      <c r="Q13" s="9">
        <f>SUM(Q8:Q12)</f>
        <v>43472741.057966121</v>
      </c>
      <c r="R13" s="13">
        <f t="shared" si="7"/>
        <v>0.6735531092367657</v>
      </c>
    </row>
    <row r="14" spans="1:18" x14ac:dyDescent="0.25">
      <c r="A14" s="1"/>
      <c r="B14" s="10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</row>
    <row r="15" spans="1:18" x14ac:dyDescent="0.25">
      <c r="A15" s="1"/>
      <c r="B15" s="2" t="s">
        <v>18</v>
      </c>
      <c r="C15" s="7">
        <v>49939</v>
      </c>
      <c r="D15" s="6">
        <f>C15/C$5</f>
        <v>1.4186796693278962E-3</v>
      </c>
      <c r="E15" s="7">
        <v>75728</v>
      </c>
      <c r="F15" s="6">
        <f>E15/E$5</f>
        <v>2.1467515358480974E-3</v>
      </c>
      <c r="G15" s="7">
        <v>44072</v>
      </c>
      <c r="H15" s="6">
        <f>G15/G$5</f>
        <v>1.2955606880464361E-3</v>
      </c>
      <c r="I15" s="7">
        <v>102803</v>
      </c>
      <c r="J15" s="6">
        <f>I15/I$5</f>
        <v>2.0426129478847083E-3</v>
      </c>
      <c r="K15" s="7">
        <f>1872145.79-K43</f>
        <v>45212.339999999851</v>
      </c>
      <c r="L15" s="6">
        <f>K15/K$5</f>
        <v>7.2356758245983681E-4</v>
      </c>
      <c r="M15" s="7">
        <v>3241</v>
      </c>
      <c r="N15" s="6">
        <f>M15/M$5</f>
        <v>5.3042419746417953E-5</v>
      </c>
      <c r="O15" s="7">
        <v>20821</v>
      </c>
      <c r="P15" s="6">
        <f>O15/O$8</f>
        <v>7.3988997577947152E-4</v>
      </c>
      <c r="Q15" s="5">
        <v>34721.99</v>
      </c>
      <c r="R15" s="6">
        <f>Q15/Q$5</f>
        <v>5.3797169799354853E-4</v>
      </c>
    </row>
    <row r="16" spans="1:18" x14ac:dyDescent="0.25">
      <c r="A16" s="1"/>
      <c r="B16" s="10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6"/>
      <c r="Q16" s="7"/>
      <c r="R16" s="6"/>
    </row>
    <row r="17" spans="1:20" x14ac:dyDescent="0.25">
      <c r="A17" s="8"/>
      <c r="B17" s="2" t="s">
        <v>19</v>
      </c>
      <c r="C17" s="9">
        <f>+C5-C13+C15</f>
        <v>11828352.149999999</v>
      </c>
      <c r="D17" s="13">
        <f>C17/C$5</f>
        <v>0.3360228021557482</v>
      </c>
      <c r="E17" s="9">
        <f>+E5-E13+E15</f>
        <v>12280169</v>
      </c>
      <c r="F17" s="13">
        <f>E17/E$5</f>
        <v>0.34812053218392397</v>
      </c>
      <c r="G17" s="9">
        <f>+G5-G13+G15</f>
        <v>12102937</v>
      </c>
      <c r="H17" s="13">
        <f>G17/G$5</f>
        <v>0.3557834767449326</v>
      </c>
      <c r="I17" s="9">
        <f>+I5-I13+I15</f>
        <v>16108386</v>
      </c>
      <c r="J17" s="13">
        <f>I17/I$5</f>
        <v>0.32006067734526006</v>
      </c>
      <c r="K17" s="9">
        <f>+K5-K13+K15</f>
        <v>19615337.220000003</v>
      </c>
      <c r="L17" s="13">
        <f>K17/K$5</f>
        <v>0.31391921168888637</v>
      </c>
      <c r="M17" s="9">
        <f>+M5-M13+M15</f>
        <v>20537166</v>
      </c>
      <c r="N17" s="13">
        <f>M17/M$5</f>
        <v>0.33611261319773633</v>
      </c>
      <c r="O17" s="9">
        <f>+O5-O13+O15</f>
        <v>16651199.90055744</v>
      </c>
      <c r="P17" s="13">
        <f>O17/O$8</f>
        <v>0.59171297685618285</v>
      </c>
      <c r="Q17" s="9">
        <f>+Q5-Q13+Q15</f>
        <v>21104391.117367443</v>
      </c>
      <c r="R17" s="13">
        <f>Q17/Q$5</f>
        <v>0.32698486246122777</v>
      </c>
    </row>
    <row r="18" spans="1:20" x14ac:dyDescent="0.25">
      <c r="A18" s="1"/>
      <c r="B18" s="12"/>
      <c r="C18" s="7"/>
      <c r="D18" s="11" t="s">
        <v>20</v>
      </c>
      <c r="E18" s="7"/>
      <c r="F18" s="11" t="s">
        <v>20</v>
      </c>
      <c r="G18" s="7"/>
      <c r="H18" s="11" t="s">
        <v>20</v>
      </c>
      <c r="I18" s="7"/>
      <c r="J18" s="11" t="s">
        <v>20</v>
      </c>
      <c r="K18" s="7"/>
      <c r="L18" s="11" t="s">
        <v>20</v>
      </c>
      <c r="M18" s="7"/>
      <c r="N18" s="11" t="s">
        <v>20</v>
      </c>
      <c r="O18" s="7"/>
      <c r="P18" s="11" t="s">
        <v>20</v>
      </c>
      <c r="Q18" s="7"/>
      <c r="R18" s="11" t="s">
        <v>20</v>
      </c>
    </row>
    <row r="19" spans="1:20" x14ac:dyDescent="0.25">
      <c r="A19" s="1"/>
      <c r="B19" s="12" t="s">
        <v>21</v>
      </c>
      <c r="C19" s="7">
        <v>5146180</v>
      </c>
      <c r="D19" s="6">
        <f>C19/C$17</f>
        <v>0.43507159194613604</v>
      </c>
      <c r="E19" s="7">
        <v>5384434</v>
      </c>
      <c r="F19" s="6">
        <f>E19/E$17</f>
        <v>0.43846578984377171</v>
      </c>
      <c r="G19" s="7">
        <v>5635935</v>
      </c>
      <c r="H19" s="6">
        <f>G19/G$17</f>
        <v>0.46566672205267201</v>
      </c>
      <c r="I19" s="7">
        <v>8080440</v>
      </c>
      <c r="J19" s="6">
        <f>I19/I$17</f>
        <v>0.50162939974246956</v>
      </c>
      <c r="K19" s="7">
        <v>9138334.6099999994</v>
      </c>
      <c r="L19" s="6">
        <f>K19/K$17</f>
        <v>0.46587700774690011</v>
      </c>
      <c r="M19" s="7">
        <v>8918883</v>
      </c>
      <c r="N19" s="6">
        <f>M19/M$17</f>
        <v>0.43428012414176326</v>
      </c>
      <c r="O19" s="7">
        <v>7096046.4899999993</v>
      </c>
      <c r="P19" s="6">
        <f>O19/O$20</f>
        <v>5.2927500681411006</v>
      </c>
      <c r="Q19" s="5">
        <f>+[1]BUDGET!W19</f>
        <v>9303303.8956000004</v>
      </c>
      <c r="R19" s="6">
        <f>Q19/Q$17</f>
        <v>0.4408231369415832</v>
      </c>
    </row>
    <row r="20" spans="1:20" x14ac:dyDescent="0.25">
      <c r="A20" s="1"/>
      <c r="B20" s="12" t="s">
        <v>22</v>
      </c>
      <c r="C20" s="7">
        <v>1031907</v>
      </c>
      <c r="D20" s="6">
        <f t="shared" ref="D20:D36" si="8">C20/C$17</f>
        <v>8.7240131754109135E-2</v>
      </c>
      <c r="E20" s="7">
        <v>1098848</v>
      </c>
      <c r="F20" s="6">
        <f t="shared" ref="F20:F36" si="9">E20/E$17</f>
        <v>8.9481504692647151E-2</v>
      </c>
      <c r="G20" s="7">
        <v>1106650</v>
      </c>
      <c r="H20" s="6">
        <f t="shared" ref="H20:H36" si="10">G20/G$17</f>
        <v>9.1436483557668688E-2</v>
      </c>
      <c r="I20" s="7">
        <v>1441020</v>
      </c>
      <c r="J20" s="6">
        <f t="shared" ref="J20:J36" si="11">I20/I$17</f>
        <v>8.9457752005694419E-2</v>
      </c>
      <c r="K20" s="7">
        <v>1526488.05</v>
      </c>
      <c r="L20" s="6">
        <f t="shared" ref="L20:L36" si="12">K20/K$17</f>
        <v>7.7821147445967784E-2</v>
      </c>
      <c r="M20" s="7">
        <v>1500653</v>
      </c>
      <c r="N20" s="6">
        <f t="shared" ref="N20:N34" si="13">M20/M$17</f>
        <v>7.307011103674188E-2</v>
      </c>
      <c r="O20" s="7">
        <v>1340710.6699999997</v>
      </c>
      <c r="P20" s="6">
        <f t="shared" ref="P20:P36" si="14">O20/O$20</f>
        <v>1</v>
      </c>
      <c r="Q20" s="5">
        <f>+[1]BUDGET!W20</f>
        <v>1598794.2696</v>
      </c>
      <c r="R20" s="6">
        <f t="shared" ref="R20:R34" si="15">Q20/Q$17</f>
        <v>7.575647459851631E-2</v>
      </c>
    </row>
    <row r="21" spans="1:20" x14ac:dyDescent="0.25">
      <c r="A21" s="1"/>
      <c r="B21" s="12" t="s">
        <v>23</v>
      </c>
      <c r="C21" s="7">
        <v>303901</v>
      </c>
      <c r="D21" s="6">
        <f t="shared" si="8"/>
        <v>2.5692589816917147E-2</v>
      </c>
      <c r="E21" s="7">
        <v>327316</v>
      </c>
      <c r="F21" s="6">
        <f t="shared" si="9"/>
        <v>2.6654030575637845E-2</v>
      </c>
      <c r="G21" s="7">
        <v>371347</v>
      </c>
      <c r="H21" s="6">
        <f t="shared" si="10"/>
        <v>3.068238725856377E-2</v>
      </c>
      <c r="I21" s="7">
        <v>679910.41</v>
      </c>
      <c r="J21" s="6">
        <f t="shared" si="11"/>
        <v>4.22084751383534E-2</v>
      </c>
      <c r="K21" s="7">
        <v>913053.57</v>
      </c>
      <c r="L21" s="6">
        <f t="shared" si="12"/>
        <v>4.6547941529602711E-2</v>
      </c>
      <c r="M21" s="7">
        <v>926713</v>
      </c>
      <c r="N21" s="6">
        <f t="shared" si="13"/>
        <v>4.5123704020311274E-2</v>
      </c>
      <c r="O21" s="7">
        <v>494129.44</v>
      </c>
      <c r="P21" s="6">
        <f t="shared" si="14"/>
        <v>0.36855784850283924</v>
      </c>
      <c r="Q21" s="5">
        <f>+[1]BUDGET!W21</f>
        <v>486821.66866666661</v>
      </c>
      <c r="R21" s="6">
        <f t="shared" si="15"/>
        <v>2.3067316463162318E-2</v>
      </c>
    </row>
    <row r="22" spans="1:20" x14ac:dyDescent="0.25">
      <c r="A22" s="1"/>
      <c r="B22" s="12" t="s">
        <v>24</v>
      </c>
      <c r="C22" s="7"/>
      <c r="D22" s="6">
        <f t="shared" si="8"/>
        <v>0</v>
      </c>
      <c r="E22" s="7"/>
      <c r="F22" s="6">
        <f t="shared" si="9"/>
        <v>0</v>
      </c>
      <c r="G22" s="7"/>
      <c r="H22" s="6">
        <f t="shared" si="10"/>
        <v>0</v>
      </c>
      <c r="I22" s="7"/>
      <c r="J22" s="6">
        <f t="shared" si="11"/>
        <v>0</v>
      </c>
      <c r="K22" s="7"/>
      <c r="L22" s="6">
        <f t="shared" si="12"/>
        <v>0</v>
      </c>
      <c r="M22" s="7"/>
      <c r="N22" s="6">
        <f t="shared" si="13"/>
        <v>0</v>
      </c>
      <c r="O22" s="7"/>
      <c r="P22" s="6">
        <f t="shared" si="14"/>
        <v>0</v>
      </c>
      <c r="Q22" s="5">
        <f>+[1]BUDGET!W22</f>
        <v>0</v>
      </c>
      <c r="R22" s="6">
        <f t="shared" si="15"/>
        <v>0</v>
      </c>
    </row>
    <row r="23" spans="1:20" x14ac:dyDescent="0.25">
      <c r="A23" s="1"/>
      <c r="B23" s="12" t="s">
        <v>25</v>
      </c>
      <c r="C23" s="14">
        <v>1182853</v>
      </c>
      <c r="D23" s="6">
        <f t="shared" si="8"/>
        <v>0.10000150359067557</v>
      </c>
      <c r="E23" s="14">
        <f>1172017-2</f>
        <v>1172015</v>
      </c>
      <c r="F23" s="6">
        <f t="shared" si="9"/>
        <v>9.5439647451105919E-2</v>
      </c>
      <c r="G23" s="14">
        <v>1378296</v>
      </c>
      <c r="H23" s="6">
        <f t="shared" si="10"/>
        <v>0.11388111827732393</v>
      </c>
      <c r="I23" s="14">
        <v>2921396.84</v>
      </c>
      <c r="J23" s="6">
        <f t="shared" si="11"/>
        <v>0.18135875561958845</v>
      </c>
      <c r="K23" s="14">
        <v>3736707.36</v>
      </c>
      <c r="L23" s="6">
        <f t="shared" si="12"/>
        <v>0.19049926687928739</v>
      </c>
      <c r="M23" s="14">
        <v>3418857</v>
      </c>
      <c r="N23" s="6">
        <f t="shared" si="13"/>
        <v>0.16647170305776365</v>
      </c>
      <c r="O23" s="14">
        <v>2339673.4900000016</v>
      </c>
      <c r="P23" s="6">
        <f t="shared" si="14"/>
        <v>1.7450994777269895</v>
      </c>
      <c r="Q23" s="5">
        <f>+[1]BUDGET!W23</f>
        <v>3557586.6269333339</v>
      </c>
      <c r="R23" s="6">
        <f t="shared" si="15"/>
        <v>0.16857092001131879</v>
      </c>
    </row>
    <row r="24" spans="1:20" x14ac:dyDescent="0.25">
      <c r="A24" s="1"/>
      <c r="B24" s="12" t="s">
        <v>26</v>
      </c>
      <c r="C24" s="7">
        <v>428320</v>
      </c>
      <c r="D24" s="6">
        <f t="shared" si="8"/>
        <v>3.6211299305964617E-2</v>
      </c>
      <c r="E24" s="7">
        <v>386183</v>
      </c>
      <c r="F24" s="6">
        <f t="shared" si="9"/>
        <v>3.1447694245901665E-2</v>
      </c>
      <c r="G24" s="7">
        <v>239115</v>
      </c>
      <c r="H24" s="6">
        <f t="shared" si="10"/>
        <v>1.9756774739883385E-2</v>
      </c>
      <c r="I24" s="7">
        <v>328816.42</v>
      </c>
      <c r="J24" s="6">
        <f t="shared" si="11"/>
        <v>2.0412747745180676E-2</v>
      </c>
      <c r="K24" s="7">
        <v>810867.67</v>
      </c>
      <c r="L24" s="6">
        <f t="shared" si="12"/>
        <v>4.1338451687347538E-2</v>
      </c>
      <c r="M24" s="7">
        <v>866258</v>
      </c>
      <c r="N24" s="6">
        <f t="shared" si="13"/>
        <v>4.2180016463810054E-2</v>
      </c>
      <c r="O24" s="7">
        <v>175650</v>
      </c>
      <c r="P24" s="6">
        <f t="shared" si="14"/>
        <v>0.13101260691838906</v>
      </c>
      <c r="Q24" s="5">
        <f>+[1]BUDGET!W24</f>
        <v>752393.33333333326</v>
      </c>
      <c r="R24" s="6">
        <f t="shared" si="15"/>
        <v>3.5651032486512531E-2</v>
      </c>
      <c r="T24" s="5">
        <f>+[1]BUDGET!F24</f>
        <v>791083</v>
      </c>
    </row>
    <row r="25" spans="1:20" x14ac:dyDescent="0.25">
      <c r="A25" s="1"/>
      <c r="B25" s="12" t="s">
        <v>27</v>
      </c>
      <c r="C25" s="7">
        <v>1252662</v>
      </c>
      <c r="D25" s="6">
        <f t="shared" si="8"/>
        <v>0.10590334005231659</v>
      </c>
      <c r="E25" s="7">
        <v>1332616</v>
      </c>
      <c r="F25" s="6">
        <f t="shared" si="9"/>
        <v>0.10851772479678415</v>
      </c>
      <c r="G25" s="7">
        <v>1473597</v>
      </c>
      <c r="H25" s="6">
        <f t="shared" si="10"/>
        <v>0.12175532269563991</v>
      </c>
      <c r="I25" s="7">
        <v>1990867.67</v>
      </c>
      <c r="J25" s="6">
        <f t="shared" si="11"/>
        <v>0.12359200170644036</v>
      </c>
      <c r="K25" s="7">
        <v>1803063.66</v>
      </c>
      <c r="L25" s="6">
        <f t="shared" si="12"/>
        <v>9.1921114573629531E-2</v>
      </c>
      <c r="M25" s="7">
        <v>1570859</v>
      </c>
      <c r="N25" s="6">
        <f t="shared" si="13"/>
        <v>7.6488596333106521E-2</v>
      </c>
      <c r="O25" s="7">
        <v>1786276.2400000005</v>
      </c>
      <c r="P25" s="6">
        <f t="shared" si="14"/>
        <v>1.3323353650940966</v>
      </c>
      <c r="Q25" s="5">
        <f>+[1]BUDGET!W25</f>
        <v>1900372.7784000002</v>
      </c>
      <c r="R25" s="6">
        <f t="shared" si="15"/>
        <v>9.0046321063303542E-2</v>
      </c>
    </row>
    <row r="26" spans="1:20" x14ac:dyDescent="0.25">
      <c r="A26" s="1"/>
      <c r="B26" s="12" t="s">
        <v>28</v>
      </c>
      <c r="C26" s="7">
        <v>281764</v>
      </c>
      <c r="D26" s="6">
        <f t="shared" si="8"/>
        <v>2.3821069615347901E-2</v>
      </c>
      <c r="E26" s="7">
        <v>375706</v>
      </c>
      <c r="F26" s="6">
        <f t="shared" si="9"/>
        <v>3.0594530091564702E-2</v>
      </c>
      <c r="G26" s="7">
        <v>344438</v>
      </c>
      <c r="H26" s="6">
        <f t="shared" si="10"/>
        <v>2.8459042627421757E-2</v>
      </c>
      <c r="I26" s="7">
        <v>423065.1</v>
      </c>
      <c r="J26" s="6">
        <f t="shared" si="11"/>
        <v>2.6263655464923673E-2</v>
      </c>
      <c r="K26" s="7">
        <v>494041.95</v>
      </c>
      <c r="L26" s="6">
        <f t="shared" si="12"/>
        <v>2.5186513209483327E-2</v>
      </c>
      <c r="M26" s="7">
        <v>477676</v>
      </c>
      <c r="N26" s="6">
        <f t="shared" si="13"/>
        <v>2.3259100111475944E-2</v>
      </c>
      <c r="O26" s="7">
        <v>352261.16000000009</v>
      </c>
      <c r="P26" s="6">
        <f t="shared" si="14"/>
        <v>0.2627421172086295</v>
      </c>
      <c r="Q26" s="5">
        <f>+[1]BUDGET!W26</f>
        <v>417228.66666666674</v>
      </c>
      <c r="R26" s="6">
        <f t="shared" si="15"/>
        <v>1.9769756177581293E-2</v>
      </c>
    </row>
    <row r="27" spans="1:20" x14ac:dyDescent="0.25">
      <c r="A27" s="1"/>
      <c r="B27" s="12" t="s">
        <v>29</v>
      </c>
      <c r="C27" s="7">
        <v>23542</v>
      </c>
      <c r="D27" s="6">
        <f t="shared" si="8"/>
        <v>1.9903025967991663E-3</v>
      </c>
      <c r="E27" s="7">
        <v>25873</v>
      </c>
      <c r="F27" s="6">
        <f t="shared" si="9"/>
        <v>2.1068928285921796E-3</v>
      </c>
      <c r="G27" s="7">
        <v>22276</v>
      </c>
      <c r="H27" s="6">
        <f t="shared" si="10"/>
        <v>1.8405449850726315E-3</v>
      </c>
      <c r="I27" s="7">
        <v>29217.91</v>
      </c>
      <c r="J27" s="6">
        <f t="shared" si="11"/>
        <v>1.813832248618825E-3</v>
      </c>
      <c r="K27" s="7">
        <v>34165.58</v>
      </c>
      <c r="L27" s="6">
        <f t="shared" si="12"/>
        <v>1.7417788752142594E-3</v>
      </c>
      <c r="M27" s="7">
        <v>33254</v>
      </c>
      <c r="N27" s="6">
        <f t="shared" si="13"/>
        <v>1.6192107518632317E-3</v>
      </c>
      <c r="O27" s="7">
        <v>82511.92</v>
      </c>
      <c r="P27" s="6">
        <f t="shared" si="14"/>
        <v>6.1543420102713152E-2</v>
      </c>
      <c r="Q27" s="5">
        <f>+[1]BUDGET!W27</f>
        <v>106893.96599999999</v>
      </c>
      <c r="R27" s="6">
        <f t="shared" si="15"/>
        <v>5.0650106608398525E-3</v>
      </c>
    </row>
    <row r="28" spans="1:20" x14ac:dyDescent="0.25">
      <c r="A28" s="1"/>
      <c r="B28" s="12" t="s">
        <v>30</v>
      </c>
      <c r="C28" s="7">
        <v>341628</v>
      </c>
      <c r="D28" s="6">
        <f t="shared" si="8"/>
        <v>2.8882129621073213E-2</v>
      </c>
      <c r="E28" s="7">
        <v>343696</v>
      </c>
      <c r="F28" s="6">
        <f t="shared" si="9"/>
        <v>2.7987888440297523E-2</v>
      </c>
      <c r="G28" s="7">
        <v>338272</v>
      </c>
      <c r="H28" s="6">
        <f t="shared" si="10"/>
        <v>2.794957951115502E-2</v>
      </c>
      <c r="I28" s="7">
        <v>341914.99</v>
      </c>
      <c r="J28" s="6">
        <f t="shared" si="11"/>
        <v>2.1225899975329619E-2</v>
      </c>
      <c r="K28" s="7">
        <v>400327.95</v>
      </c>
      <c r="L28" s="6">
        <f t="shared" si="12"/>
        <v>2.0408925195118312E-2</v>
      </c>
      <c r="M28" s="7">
        <v>400199</v>
      </c>
      <c r="N28" s="6">
        <f t="shared" si="13"/>
        <v>1.9486573756086891E-2</v>
      </c>
      <c r="O28" s="7">
        <v>347501.59</v>
      </c>
      <c r="P28" s="6">
        <f t="shared" si="14"/>
        <v>0.25919208206197097</v>
      </c>
      <c r="Q28" s="5">
        <f>+[1]BUDGET!W28</f>
        <v>418430.95999999996</v>
      </c>
      <c r="R28" s="6">
        <f t="shared" si="15"/>
        <v>1.9826725048497629E-2</v>
      </c>
    </row>
    <row r="29" spans="1:20" x14ac:dyDescent="0.25">
      <c r="A29" s="1"/>
      <c r="B29" s="12" t="s">
        <v>31</v>
      </c>
      <c r="C29" s="7">
        <v>125979</v>
      </c>
      <c r="D29" s="6">
        <f t="shared" si="8"/>
        <v>1.0650595991936207E-2</v>
      </c>
      <c r="E29" s="7">
        <v>117144</v>
      </c>
      <c r="F29" s="6">
        <f t="shared" si="9"/>
        <v>9.5392823991265925E-3</v>
      </c>
      <c r="G29" s="7">
        <v>119765</v>
      </c>
      <c r="H29" s="6">
        <f t="shared" si="10"/>
        <v>9.8955319688105465E-3</v>
      </c>
      <c r="I29" s="7">
        <f>1013515.59-I31</f>
        <v>154373.33000000007</v>
      </c>
      <c r="J29" s="6">
        <f t="shared" si="11"/>
        <v>9.5834138814403919E-3</v>
      </c>
      <c r="K29" s="7">
        <f>1019986.48-K31</f>
        <v>183756.45999999996</v>
      </c>
      <c r="L29" s="6">
        <f t="shared" si="12"/>
        <v>9.3679990274467446E-3</v>
      </c>
      <c r="M29" s="7">
        <f>1036850-M31</f>
        <v>181187</v>
      </c>
      <c r="N29" s="6">
        <f t="shared" si="13"/>
        <v>8.8223954561208687E-3</v>
      </c>
      <c r="O29" s="7">
        <v>108090.20000000001</v>
      </c>
      <c r="P29" s="6">
        <f t="shared" si="14"/>
        <v>8.0621570648050436E-2</v>
      </c>
      <c r="Q29" s="5">
        <f>+[1]BUDGET!W29</f>
        <v>186358.16200000004</v>
      </c>
      <c r="R29" s="6">
        <f t="shared" si="15"/>
        <v>8.8303027063709148E-3</v>
      </c>
    </row>
    <row r="30" spans="1:20" x14ac:dyDescent="0.25">
      <c r="A30" s="1"/>
      <c r="B30" s="12" t="s">
        <v>32</v>
      </c>
      <c r="C30" s="7">
        <v>283729</v>
      </c>
      <c r="D30" s="6">
        <f t="shared" si="8"/>
        <v>2.3987195883409682E-2</v>
      </c>
      <c r="E30" s="7">
        <v>279835</v>
      </c>
      <c r="F30" s="6">
        <f t="shared" si="9"/>
        <v>2.2787552842310231E-2</v>
      </c>
      <c r="G30" s="7">
        <v>345018</v>
      </c>
      <c r="H30" s="6">
        <f t="shared" si="10"/>
        <v>2.8506964879681684E-2</v>
      </c>
      <c r="I30" s="7">
        <v>386600.16</v>
      </c>
      <c r="J30" s="6">
        <f t="shared" si="11"/>
        <v>2.3999931464269604E-2</v>
      </c>
      <c r="K30" s="7">
        <v>538772.68999999994</v>
      </c>
      <c r="L30" s="6">
        <f t="shared" si="12"/>
        <v>2.7466909386123717E-2</v>
      </c>
      <c r="M30" s="7">
        <v>392208</v>
      </c>
      <c r="N30" s="6">
        <f t="shared" si="13"/>
        <v>1.9097474305851157E-2</v>
      </c>
      <c r="O30" s="7">
        <v>350881.12</v>
      </c>
      <c r="P30" s="6">
        <f t="shared" si="14"/>
        <v>0.26171278252003477</v>
      </c>
      <c r="Q30" s="5">
        <f>+[1]BUDGET!W30</f>
        <v>424344.54200000007</v>
      </c>
      <c r="R30" s="6">
        <f t="shared" si="15"/>
        <v>2.0106931284589114E-2</v>
      </c>
    </row>
    <row r="31" spans="1:20" x14ac:dyDescent="0.25">
      <c r="A31" s="1"/>
      <c r="B31" s="12" t="s">
        <v>33</v>
      </c>
      <c r="C31" s="7">
        <v>870543</v>
      </c>
      <c r="D31" s="6">
        <f t="shared" si="8"/>
        <v>7.3597994797610089E-2</v>
      </c>
      <c r="E31" s="7">
        <v>894610</v>
      </c>
      <c r="F31" s="6">
        <f t="shared" si="9"/>
        <v>7.2849974621684771E-2</v>
      </c>
      <c r="G31" s="7">
        <v>886779</v>
      </c>
      <c r="H31" s="6">
        <f t="shared" si="10"/>
        <v>7.3269736097940519E-2</v>
      </c>
      <c r="I31" s="7">
        <f>832323.95+19678.55+1784.07+5355.69</f>
        <v>859142.25999999989</v>
      </c>
      <c r="J31" s="6">
        <f t="shared" si="11"/>
        <v>5.3335092665398001E-2</v>
      </c>
      <c r="K31" s="7">
        <f>804167.04+4099.11+2926.57+25037.3</f>
        <v>836230.02</v>
      </c>
      <c r="L31" s="6">
        <f t="shared" si="12"/>
        <v>4.2631437360524764E-2</v>
      </c>
      <c r="M31" s="7">
        <v>855663</v>
      </c>
      <c r="N31" s="6">
        <f t="shared" si="13"/>
        <v>4.1664122498693341E-2</v>
      </c>
      <c r="O31" s="7">
        <v>937491.83</v>
      </c>
      <c r="P31" s="6">
        <f t="shared" si="14"/>
        <v>0.69924992093931804</v>
      </c>
      <c r="Q31" s="5">
        <f>+[1]BUDGET!W31</f>
        <v>897556.5340000001</v>
      </c>
      <c r="R31" s="6">
        <f t="shared" si="15"/>
        <v>4.2529373579575751E-2</v>
      </c>
    </row>
    <row r="32" spans="1:20" x14ac:dyDescent="0.25">
      <c r="A32" s="1"/>
      <c r="B32" s="12" t="s">
        <v>34</v>
      </c>
      <c r="C32" s="7">
        <v>184969</v>
      </c>
      <c r="D32" s="6">
        <f t="shared" si="8"/>
        <v>1.5637765738991803E-2</v>
      </c>
      <c r="E32" s="7">
        <v>178072</v>
      </c>
      <c r="F32" s="6">
        <f t="shared" si="9"/>
        <v>1.4500777635877812E-2</v>
      </c>
      <c r="G32" s="7">
        <v>173726</v>
      </c>
      <c r="H32" s="6">
        <f t="shared" si="10"/>
        <v>1.4354036545013826E-2</v>
      </c>
      <c r="I32" s="7">
        <v>168122.84</v>
      </c>
      <c r="J32" s="6">
        <f t="shared" si="11"/>
        <v>1.0436976119146884E-2</v>
      </c>
      <c r="K32" s="7">
        <v>342164.88</v>
      </c>
      <c r="L32" s="6">
        <f t="shared" si="12"/>
        <v>1.7443741912890751E-2</v>
      </c>
      <c r="M32" s="7">
        <v>351383</v>
      </c>
      <c r="N32" s="6">
        <f t="shared" si="13"/>
        <v>1.7109614831958803E-2</v>
      </c>
      <c r="O32" s="7">
        <v>146655.38000000003</v>
      </c>
      <c r="P32" s="6">
        <f t="shared" si="14"/>
        <v>0.10938630032682597</v>
      </c>
      <c r="Q32" s="5">
        <f>+[1]BUDGET!W32</f>
        <v>376509.17333333334</v>
      </c>
      <c r="R32" s="6">
        <f t="shared" si="15"/>
        <v>1.7840323904132566E-2</v>
      </c>
    </row>
    <row r="33" spans="1:18" x14ac:dyDescent="0.25">
      <c r="A33" s="1"/>
      <c r="B33" s="12" t="s">
        <v>35</v>
      </c>
      <c r="C33" s="7">
        <v>922040</v>
      </c>
      <c r="D33" s="6">
        <f t="shared" si="8"/>
        <v>7.7951686617649452E-2</v>
      </c>
      <c r="E33" s="7">
        <v>736198</v>
      </c>
      <c r="F33" s="6">
        <f t="shared" si="9"/>
        <v>5.9950152151814852E-2</v>
      </c>
      <c r="G33" s="7">
        <v>715499</v>
      </c>
      <c r="H33" s="6">
        <f t="shared" si="10"/>
        <v>5.9117799258147009E-2</v>
      </c>
      <c r="I33" s="7">
        <v>780087.1</v>
      </c>
      <c r="J33" s="6">
        <f t="shared" si="11"/>
        <v>4.8427390552970358E-2</v>
      </c>
      <c r="K33" s="7">
        <v>906634.27</v>
      </c>
      <c r="L33" s="6">
        <f t="shared" si="12"/>
        <v>4.6220682307494883E-2</v>
      </c>
      <c r="M33" s="7">
        <v>809882</v>
      </c>
      <c r="N33" s="6">
        <f t="shared" si="13"/>
        <v>3.9434944431963007E-2</v>
      </c>
      <c r="O33" s="7">
        <v>888022.8</v>
      </c>
      <c r="P33" s="6">
        <f t="shared" si="14"/>
        <v>0.66235230305133641</v>
      </c>
      <c r="Q33" s="5">
        <f>+[1]BUDGET!W33</f>
        <v>888022.80000000016</v>
      </c>
      <c r="R33" s="6">
        <f t="shared" si="15"/>
        <v>4.2077631856870738E-2</v>
      </c>
    </row>
    <row r="34" spans="1:18" x14ac:dyDescent="0.25">
      <c r="A34" s="8"/>
      <c r="B34" s="15" t="s">
        <v>36</v>
      </c>
      <c r="C34" s="9">
        <f>SUM(C19:C33)</f>
        <v>12380017</v>
      </c>
      <c r="D34" s="13">
        <f t="shared" si="8"/>
        <v>1.0466391973289366</v>
      </c>
      <c r="E34" s="9">
        <f>SUM(E19:E33)</f>
        <v>12652546</v>
      </c>
      <c r="F34" s="13">
        <f t="shared" si="9"/>
        <v>1.0303234426171171</v>
      </c>
      <c r="G34" s="9">
        <f>SUM(G19:G33)</f>
        <v>13150713</v>
      </c>
      <c r="H34" s="13">
        <f t="shared" si="10"/>
        <v>1.0865720444549947</v>
      </c>
      <c r="I34" s="9">
        <f>SUM(I19:I33)</f>
        <v>18584975.030000001</v>
      </c>
      <c r="J34" s="13">
        <f t="shared" si="11"/>
        <v>1.1537453243298244</v>
      </c>
      <c r="K34" s="9">
        <f>SUM(K19:K33)</f>
        <v>21664608.719999995</v>
      </c>
      <c r="L34" s="13">
        <f t="shared" si="12"/>
        <v>1.1044729171370316</v>
      </c>
      <c r="M34" s="9">
        <f>SUM(M19:M33)</f>
        <v>20703675</v>
      </c>
      <c r="N34" s="13">
        <f t="shared" si="13"/>
        <v>1.00810769119751</v>
      </c>
      <c r="O34" s="9">
        <f>SUM(O19:O33)</f>
        <v>16445902.33</v>
      </c>
      <c r="P34" s="13">
        <f t="shared" si="14"/>
        <v>12.266555863242294</v>
      </c>
      <c r="Q34" s="9">
        <f>SUM(Q19:Q33)</f>
        <v>21314617.376533337</v>
      </c>
      <c r="R34" s="13">
        <f t="shared" si="15"/>
        <v>1.0099612567828546</v>
      </c>
    </row>
    <row r="35" spans="1:18" x14ac:dyDescent="0.25">
      <c r="A35" s="1"/>
      <c r="B35" s="10"/>
      <c r="C35" s="7"/>
      <c r="D35" s="12"/>
      <c r="E35" s="7"/>
      <c r="F35" s="12"/>
      <c r="G35" s="7"/>
      <c r="H35" s="12"/>
      <c r="I35" s="7"/>
      <c r="J35" s="12"/>
      <c r="K35" s="7"/>
      <c r="L35" s="12"/>
      <c r="M35" s="7"/>
      <c r="N35" s="12"/>
      <c r="O35" s="7"/>
      <c r="P35" s="12"/>
      <c r="Q35" s="7"/>
      <c r="R35" s="12"/>
    </row>
    <row r="36" spans="1:18" x14ac:dyDescent="0.25">
      <c r="A36" s="8"/>
      <c r="B36" s="2" t="s">
        <v>37</v>
      </c>
      <c r="C36" s="9">
        <f>+C17-C34</f>
        <v>-551664.85000000149</v>
      </c>
      <c r="D36" s="13">
        <f t="shared" si="8"/>
        <v>-4.6639197328936607E-2</v>
      </c>
      <c r="E36" s="9">
        <f>+E17-E34</f>
        <v>-372377</v>
      </c>
      <c r="F36" s="13">
        <f t="shared" si="9"/>
        <v>-3.0323442617117079E-2</v>
      </c>
      <c r="G36" s="9">
        <f>+G17-G34</f>
        <v>-1047776</v>
      </c>
      <c r="H36" s="13">
        <f t="shared" si="10"/>
        <v>-8.6572044454994682E-2</v>
      </c>
      <c r="I36" s="9">
        <f>+I17-I34</f>
        <v>-2476589.0300000012</v>
      </c>
      <c r="J36" s="13">
        <f t="shared" si="11"/>
        <v>-0.1537453243298243</v>
      </c>
      <c r="K36" s="9">
        <f>+K17-K34</f>
        <v>-2049271.4999999925</v>
      </c>
      <c r="L36" s="13">
        <f t="shared" si="12"/>
        <v>-0.10447291713703162</v>
      </c>
      <c r="M36" s="9">
        <f>+M17-M34</f>
        <v>-166509</v>
      </c>
      <c r="N36" s="13">
        <f t="shared" ref="N36" si="16">M36/M$17</f>
        <v>-8.1076911975099201E-3</v>
      </c>
      <c r="O36" s="9">
        <f>+O17-O34</f>
        <v>205297.5705574397</v>
      </c>
      <c r="P36" s="13">
        <f t="shared" si="14"/>
        <v>0.1531259317548653</v>
      </c>
      <c r="Q36" s="9">
        <f>+Q17-Q34</f>
        <v>-210226.25916589424</v>
      </c>
      <c r="R36" s="13">
        <f t="shared" ref="R36" si="17">Q36/Q$17</f>
        <v>-9.9612567828546682E-3</v>
      </c>
    </row>
    <row r="37" spans="1:18" x14ac:dyDescent="0.25">
      <c r="A37" s="1"/>
      <c r="B37" s="10"/>
      <c r="C37" s="7"/>
      <c r="D37" s="12"/>
      <c r="E37" s="7"/>
      <c r="F37" s="12"/>
      <c r="G37" s="7"/>
      <c r="H37" s="12"/>
      <c r="I37" s="7"/>
      <c r="J37" s="12"/>
      <c r="K37" s="7"/>
      <c r="L37" s="12"/>
      <c r="M37" s="7"/>
      <c r="N37" s="12"/>
      <c r="O37" s="7"/>
      <c r="P37" s="12"/>
      <c r="Q37" s="7"/>
      <c r="R37" s="12"/>
    </row>
    <row r="38" spans="1:18" x14ac:dyDescent="0.25">
      <c r="A38" s="1"/>
      <c r="B38" s="16" t="s">
        <v>38</v>
      </c>
      <c r="C38" s="7"/>
      <c r="D38" s="12"/>
      <c r="E38" s="7"/>
      <c r="F38" s="12"/>
      <c r="G38" s="7"/>
      <c r="H38" s="12"/>
      <c r="I38" s="7"/>
      <c r="J38" s="12"/>
      <c r="K38" s="7"/>
      <c r="L38" s="12"/>
      <c r="M38" s="7"/>
      <c r="N38" s="12"/>
      <c r="O38" s="7"/>
      <c r="P38" s="12"/>
      <c r="Q38" s="7"/>
      <c r="R38" s="12"/>
    </row>
    <row r="39" spans="1:18" x14ac:dyDescent="0.25">
      <c r="A39" s="1"/>
      <c r="B39" s="12" t="s">
        <v>39</v>
      </c>
      <c r="C39" s="7">
        <v>23934</v>
      </c>
      <c r="D39" s="12"/>
      <c r="E39" s="7">
        <v>29424</v>
      </c>
      <c r="F39" s="12"/>
      <c r="G39" s="7">
        <v>13711</v>
      </c>
      <c r="H39" s="12"/>
      <c r="I39" s="7">
        <v>15326</v>
      </c>
      <c r="J39" s="12"/>
      <c r="K39" s="7">
        <v>0</v>
      </c>
      <c r="L39" s="12"/>
      <c r="M39" s="7">
        <v>5204</v>
      </c>
      <c r="N39" s="12"/>
      <c r="O39" s="7">
        <v>0</v>
      </c>
      <c r="P39" s="12"/>
      <c r="Q39" s="5">
        <f>+[1]BUDGET!W39</f>
        <v>0</v>
      </c>
      <c r="R39" s="12"/>
    </row>
    <row r="40" spans="1:18" x14ac:dyDescent="0.25">
      <c r="A40" s="1"/>
      <c r="B40" s="12" t="s">
        <v>40</v>
      </c>
      <c r="C40" s="7">
        <v>5000</v>
      </c>
      <c r="D40" s="12"/>
      <c r="E40" s="7">
        <v>14465</v>
      </c>
      <c r="F40" s="12"/>
      <c r="G40" s="7">
        <v>248122</v>
      </c>
      <c r="H40" s="12"/>
      <c r="I40" s="7">
        <v>1785378</v>
      </c>
      <c r="J40" s="12"/>
      <c r="K40" s="7">
        <f>628049.11+1114567.34+84317</f>
        <v>1826933.4500000002</v>
      </c>
      <c r="L40" s="12"/>
      <c r="M40" s="7">
        <v>628049</v>
      </c>
      <c r="N40" s="12"/>
      <c r="O40" s="7">
        <v>15000</v>
      </c>
      <c r="P40" s="12"/>
      <c r="Q40" s="5">
        <f>+[1]BUDGET!W40</f>
        <v>15000</v>
      </c>
      <c r="R40" s="12"/>
    </row>
    <row r="41" spans="1:18" x14ac:dyDescent="0.25">
      <c r="A41" s="1"/>
      <c r="B41" s="12" t="s">
        <v>41</v>
      </c>
      <c r="C41" s="7">
        <v>9806</v>
      </c>
      <c r="D41" s="12"/>
      <c r="E41" s="7">
        <v>6302</v>
      </c>
      <c r="F41" s="12"/>
      <c r="G41" s="7">
        <v>17184</v>
      </c>
      <c r="H41" s="12"/>
      <c r="I41" s="7">
        <v>0</v>
      </c>
      <c r="J41" s="12"/>
      <c r="K41" s="7">
        <v>0</v>
      </c>
      <c r="L41" s="12"/>
      <c r="M41" s="7">
        <v>847458</v>
      </c>
      <c r="N41" s="12"/>
      <c r="O41" s="7">
        <v>500000</v>
      </c>
      <c r="P41" s="12"/>
      <c r="Q41" s="5">
        <v>833000</v>
      </c>
      <c r="R41" s="12"/>
    </row>
    <row r="42" spans="1:18" x14ac:dyDescent="0.25">
      <c r="A42" s="1"/>
      <c r="B42" s="12" t="s">
        <v>42</v>
      </c>
      <c r="C42" s="7">
        <v>217742</v>
      </c>
      <c r="D42" s="12"/>
      <c r="E42" s="7">
        <v>56807</v>
      </c>
      <c r="F42" s="12"/>
      <c r="G42" s="7">
        <v>35343</v>
      </c>
      <c r="H42" s="12"/>
      <c r="I42" s="7">
        <v>366242</v>
      </c>
      <c r="J42" s="12"/>
      <c r="K42" s="7">
        <v>0</v>
      </c>
      <c r="L42" s="12"/>
      <c r="M42" s="7">
        <v>14502</v>
      </c>
      <c r="N42" s="12"/>
      <c r="O42" s="7">
        <v>50288</v>
      </c>
      <c r="P42" s="12"/>
      <c r="Q42" s="5">
        <f>+[1]BUDGET!W42</f>
        <v>42166.07</v>
      </c>
      <c r="R42" s="12"/>
    </row>
    <row r="43" spans="1:18" x14ac:dyDescent="0.25">
      <c r="A43" s="8"/>
      <c r="B43" s="15" t="s">
        <v>43</v>
      </c>
      <c r="C43" s="9">
        <f>SUM(C39:C42)</f>
        <v>256482</v>
      </c>
      <c r="D43" s="13">
        <f>C43/C17</f>
        <v>2.1683662842249759E-2</v>
      </c>
      <c r="E43" s="9">
        <f>SUM(E39:E42)</f>
        <v>106998</v>
      </c>
      <c r="F43" s="13">
        <f>E43/E17</f>
        <v>8.7130722712366587E-3</v>
      </c>
      <c r="G43" s="9">
        <f>SUM(G39:G42)</f>
        <v>314360</v>
      </c>
      <c r="H43" s="13">
        <f>G43/G17</f>
        <v>2.5973860724880251E-2</v>
      </c>
      <c r="I43" s="9">
        <f>SUM(I39:I42)</f>
        <v>2166946</v>
      </c>
      <c r="J43" s="13">
        <f>I43/I17</f>
        <v>0.13452285039606079</v>
      </c>
      <c r="K43" s="9">
        <f>SUM(K39:K42)</f>
        <v>1826933.4500000002</v>
      </c>
      <c r="L43" s="13">
        <f>K43/K17</f>
        <v>9.3138008768834199E-2</v>
      </c>
      <c r="M43" s="9">
        <f>SUM(M39:M42)</f>
        <v>1495213</v>
      </c>
      <c r="N43" s="13">
        <f>M43/M17</f>
        <v>7.2805225414256283E-2</v>
      </c>
      <c r="O43" s="9">
        <f>SUM(O39:O42)</f>
        <v>565288</v>
      </c>
      <c r="P43" s="13">
        <f>O43/O17</f>
        <v>3.3948784674735395E-2</v>
      </c>
      <c r="Q43" s="9">
        <f>SUM(Q39:Q42)</f>
        <v>890166.07</v>
      </c>
      <c r="R43" s="13">
        <f>Q43/Q17</f>
        <v>4.217918749939463E-2</v>
      </c>
    </row>
    <row r="44" spans="1:18" x14ac:dyDescent="0.25">
      <c r="A44" s="1"/>
      <c r="B44" s="12"/>
      <c r="C44" s="7"/>
      <c r="D44" s="12"/>
      <c r="E44" s="7"/>
      <c r="F44" s="12"/>
      <c r="G44" s="7"/>
      <c r="H44" s="12"/>
      <c r="I44" s="7"/>
      <c r="J44" s="12"/>
      <c r="K44" s="7"/>
      <c r="L44" s="12"/>
      <c r="M44" s="7"/>
      <c r="N44" s="12"/>
      <c r="O44" s="7"/>
      <c r="P44" s="12"/>
      <c r="Q44" s="7"/>
      <c r="R44" s="12"/>
    </row>
    <row r="45" spans="1:18" x14ac:dyDescent="0.25">
      <c r="A45" s="8"/>
      <c r="B45" s="15" t="s">
        <v>44</v>
      </c>
      <c r="C45" s="17">
        <f>+C36+C43</f>
        <v>-295182.85000000149</v>
      </c>
      <c r="D45" s="13">
        <f>C45/C17</f>
        <v>-2.4955534486686849E-2</v>
      </c>
      <c r="E45" s="17">
        <f>+E36+E43</f>
        <v>-265379</v>
      </c>
      <c r="F45" s="13">
        <f>E45/E17</f>
        <v>-2.1610370345880418E-2</v>
      </c>
      <c r="G45" s="17">
        <f>+G36+G43</f>
        <v>-733416</v>
      </c>
      <c r="H45" s="13">
        <f>G45/G17</f>
        <v>-6.0598183730114434E-2</v>
      </c>
      <c r="I45" s="17">
        <f>+I36+I43</f>
        <v>-309643.03000000119</v>
      </c>
      <c r="J45" s="13">
        <f>I45/I17</f>
        <v>-1.9222473933763518E-2</v>
      </c>
      <c r="K45" s="17">
        <f>+K36+K43</f>
        <v>-222338.04999999236</v>
      </c>
      <c r="L45" s="13">
        <f>K45/K17</f>
        <v>-1.1334908368197422E-2</v>
      </c>
      <c r="M45" s="17">
        <f>+M36+M43</f>
        <v>1328704</v>
      </c>
      <c r="N45" s="13">
        <f>M45/M17</f>
        <v>6.4697534216746358E-2</v>
      </c>
      <c r="O45" s="17">
        <f>+O36+O43</f>
        <v>770585.5705574397</v>
      </c>
      <c r="P45" s="13">
        <f>O45/O17</f>
        <v>4.6278080568334448E-2</v>
      </c>
      <c r="Q45" s="17">
        <f>+Q36+Q43</f>
        <v>679939.81083410571</v>
      </c>
      <c r="R45" s="13">
        <f>Q45/Q17</f>
        <v>3.2217930716539965E-2</v>
      </c>
    </row>
    <row r="46" spans="1:18" x14ac:dyDescent="0.25">
      <c r="A46" s="1"/>
      <c r="B46" s="12"/>
      <c r="C46" s="14"/>
      <c r="D46" s="12"/>
      <c r="E46" s="14"/>
      <c r="F46" s="12"/>
      <c r="G46" s="14"/>
      <c r="H46" s="12"/>
      <c r="I46" s="14"/>
      <c r="J46" s="12"/>
      <c r="K46" s="14"/>
      <c r="L46" s="12"/>
      <c r="M46" s="14"/>
      <c r="N46" s="12"/>
      <c r="O46" s="14"/>
      <c r="P46" s="12"/>
      <c r="Q46" s="14"/>
      <c r="R46" s="12"/>
    </row>
    <row r="47" spans="1:18" x14ac:dyDescent="0.25">
      <c r="A47" s="1"/>
      <c r="B47" s="18"/>
      <c r="C47" s="14"/>
      <c r="D47" s="12"/>
      <c r="E47" s="14"/>
      <c r="F47" s="12"/>
      <c r="G47" s="14"/>
      <c r="H47" s="12"/>
      <c r="I47" s="14"/>
      <c r="J47" s="12"/>
      <c r="K47" s="14"/>
      <c r="L47" s="12"/>
      <c r="M47" s="14"/>
      <c r="N47" s="12"/>
      <c r="O47" s="14"/>
      <c r="P47" s="12"/>
      <c r="Q47" s="14"/>
      <c r="R47" s="12"/>
    </row>
    <row r="48" spans="1:18" x14ac:dyDescent="0.25">
      <c r="A48" s="1"/>
      <c r="B48" s="10" t="s">
        <v>45</v>
      </c>
      <c r="C48" s="14">
        <v>-33463311.570739508</v>
      </c>
      <c r="D48" s="13">
        <f>C48/C5</f>
        <v>-0.95063416956272839</v>
      </c>
      <c r="E48" s="14">
        <v>-33463311.570739508</v>
      </c>
      <c r="F48" s="13">
        <f>E48/E5</f>
        <v>-0.94862422761790144</v>
      </c>
      <c r="G48" s="14">
        <v>-33463311.570739508</v>
      </c>
      <c r="H48" s="13">
        <f>G48/G5</f>
        <v>-0.98370282635005313</v>
      </c>
      <c r="I48" s="14">
        <v>-33463311.570739508</v>
      </c>
      <c r="J48" s="13">
        <f>I48/I5</f>
        <v>-0.66488909364019244</v>
      </c>
      <c r="K48" s="14">
        <v>-33463311.570739508</v>
      </c>
      <c r="L48" s="13">
        <f>K48/K5</f>
        <v>-0.5355389138084945</v>
      </c>
      <c r="M48" s="14">
        <v>-33463311.570739508</v>
      </c>
      <c r="N48" s="13">
        <f>M48/M5</f>
        <v>-0.54766276409760251</v>
      </c>
      <c r="O48" s="14">
        <v>-33463311.570739508</v>
      </c>
      <c r="P48" s="13">
        <f>O48/O5</f>
        <v>-0.67845103502877391</v>
      </c>
      <c r="Q48" s="14">
        <v>-33463311.570739508</v>
      </c>
      <c r="R48" s="13">
        <f>Q48/Q5</f>
        <v>-0.51847012645870505</v>
      </c>
    </row>
    <row r="49" spans="1:18" x14ac:dyDescent="0.25">
      <c r="A49" s="1"/>
      <c r="B49" s="10"/>
      <c r="C49" s="14"/>
      <c r="D49" s="12"/>
      <c r="E49" s="14"/>
      <c r="F49" s="12"/>
      <c r="G49" s="14"/>
      <c r="H49" s="12"/>
      <c r="I49" s="14"/>
      <c r="J49" s="12"/>
      <c r="K49" s="14"/>
      <c r="L49" s="12"/>
      <c r="M49" s="14"/>
      <c r="N49" s="12"/>
      <c r="O49" s="14"/>
      <c r="P49" s="12"/>
      <c r="Q49" s="14"/>
      <c r="R49" s="12"/>
    </row>
    <row r="50" spans="1:18" x14ac:dyDescent="0.25">
      <c r="A50" s="1"/>
      <c r="B50" s="10"/>
      <c r="C50" s="14"/>
      <c r="D50" s="12"/>
      <c r="E50" s="14"/>
      <c r="F50" s="12"/>
      <c r="G50" s="14"/>
      <c r="H50" s="12"/>
      <c r="I50" s="14"/>
      <c r="J50" s="12"/>
      <c r="K50" s="14"/>
      <c r="L50" s="12"/>
      <c r="M50" s="14"/>
      <c r="N50" s="12"/>
      <c r="O50" s="14"/>
      <c r="P50" s="12"/>
      <c r="Q50" s="14"/>
      <c r="R50" s="12"/>
    </row>
    <row r="51" spans="1:18" x14ac:dyDescent="0.25">
      <c r="A51" s="1"/>
      <c r="B51" s="10" t="s">
        <v>46</v>
      </c>
      <c r="C51" s="14">
        <v>-33398023.570739508</v>
      </c>
      <c r="D51" s="13">
        <f>C51/C5</f>
        <v>-0.9487794516418433</v>
      </c>
      <c r="E51" s="14">
        <v>-33398023.570739508</v>
      </c>
      <c r="F51" s="13">
        <f>E51/E5</f>
        <v>-0.94677343115856738</v>
      </c>
      <c r="G51" s="14">
        <v>-33398023.570739508</v>
      </c>
      <c r="H51" s="13">
        <f>G51/G5</f>
        <v>-0.98178359041337737</v>
      </c>
      <c r="I51" s="14">
        <v>-33398023.570739508</v>
      </c>
      <c r="J51" s="13">
        <f>I51/I5</f>
        <v>-0.66359187357714466</v>
      </c>
      <c r="K51" s="14">
        <v>-33398023.570739508</v>
      </c>
      <c r="L51" s="13">
        <f>K51/K5</f>
        <v>-0.53449406011758538</v>
      </c>
      <c r="M51" s="14">
        <v>-33398023.570739508</v>
      </c>
      <c r="N51" s="13">
        <f>M51/M5</f>
        <v>-0.54659425638380921</v>
      </c>
      <c r="O51" s="14">
        <v>-33398023.570739508</v>
      </c>
      <c r="P51" s="13">
        <f>O51/O5</f>
        <v>-0.67712735518073131</v>
      </c>
      <c r="Q51" s="14">
        <v>-33398023.570739508</v>
      </c>
      <c r="R51" s="13">
        <f>Q51/Q5</f>
        <v>-0.51745857452235</v>
      </c>
    </row>
  </sheetData>
  <mergeCells count="8">
    <mergeCell ref="Q1:R1"/>
    <mergeCell ref="M1:N1"/>
    <mergeCell ref="O1:P1"/>
    <mergeCell ref="C1:D1"/>
    <mergeCell ref="E1:F1"/>
    <mergeCell ref="G1:H1"/>
    <mergeCell ref="I1:J1"/>
    <mergeCell ref="K1:L1"/>
  </mergeCells>
  <pageMargins left="0.7" right="0.7" top="0.75" bottom="0.75" header="0.3" footer="0.3"/>
  <pageSetup scale="54" orientation="landscape" r:id="rId1"/>
  <headerFooter>
    <oddHeader>&amp;C&amp;"-,Bold"&amp;14Doctors Memorial Hospital
2023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Jamison</dc:creator>
  <cp:lastModifiedBy>Ronald Jamison</cp:lastModifiedBy>
  <cp:lastPrinted>2023-01-20T20:30:45Z</cp:lastPrinted>
  <dcterms:created xsi:type="dcterms:W3CDTF">2022-09-23T20:37:47Z</dcterms:created>
  <dcterms:modified xsi:type="dcterms:W3CDTF">2023-01-25T13:59:59Z</dcterms:modified>
</cp:coreProperties>
</file>